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'REG11'!$L:$T</definedName>
    <definedName name="_xlnm.Print_Titles" localSheetId="0">'REG11'!$A:$A,'REG11'!$1:$4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7" i="1" l="1"/>
  <c r="N77" i="1"/>
  <c r="O77" i="1" s="1"/>
  <c r="L77" i="1"/>
  <c r="G77" i="1"/>
  <c r="I77" i="1" s="1"/>
  <c r="J77" i="1" s="1"/>
  <c r="D77" i="1"/>
  <c r="E77" i="1" s="1"/>
  <c r="B77" i="1"/>
  <c r="Q77" i="1" s="1"/>
  <c r="S77" i="1" s="1"/>
  <c r="T77" i="1" s="1"/>
  <c r="M76" i="1"/>
  <c r="L76" i="1"/>
  <c r="N76" i="1" s="1"/>
  <c r="O76" i="1" s="1"/>
  <c r="H76" i="1"/>
  <c r="C76" i="1"/>
  <c r="M75" i="1"/>
  <c r="L75" i="1"/>
  <c r="N75" i="1" s="1"/>
  <c r="O75" i="1" s="1"/>
  <c r="H75" i="1"/>
  <c r="C75" i="1"/>
  <c r="R74" i="1"/>
  <c r="R75" i="1" s="1"/>
  <c r="Q74" i="1"/>
  <c r="S74" i="1" s="1"/>
  <c r="T74" i="1" s="1"/>
  <c r="L74" i="1"/>
  <c r="N74" i="1" s="1"/>
  <c r="O74" i="1" s="1"/>
  <c r="I74" i="1"/>
  <c r="J74" i="1" s="1"/>
  <c r="G74" i="1"/>
  <c r="D74" i="1"/>
  <c r="E74" i="1" s="1"/>
  <c r="B74" i="1"/>
  <c r="R73" i="1"/>
  <c r="L73" i="1"/>
  <c r="N73" i="1" s="1"/>
  <c r="O73" i="1" s="1"/>
  <c r="G73" i="1"/>
  <c r="B73" i="1"/>
  <c r="R72" i="1"/>
  <c r="T72" i="1" s="1"/>
  <c r="Q72" i="1"/>
  <c r="O72" i="1"/>
  <c r="J72" i="1"/>
  <c r="E72" i="1"/>
  <c r="T71" i="1"/>
  <c r="R71" i="1"/>
  <c r="O71" i="1"/>
  <c r="J71" i="1"/>
  <c r="E71" i="1"/>
  <c r="M70" i="1"/>
  <c r="L70" i="1"/>
  <c r="N70" i="1" s="1"/>
  <c r="O70" i="1" s="1"/>
  <c r="H70" i="1"/>
  <c r="C70" i="1"/>
  <c r="M69" i="1"/>
  <c r="L69" i="1"/>
  <c r="N69" i="1" s="1"/>
  <c r="O69" i="1" s="1"/>
  <c r="H69" i="1"/>
  <c r="C69" i="1"/>
  <c r="M68" i="1"/>
  <c r="L68" i="1"/>
  <c r="O68" i="1" s="1"/>
  <c r="H68" i="1"/>
  <c r="C68" i="1"/>
  <c r="R67" i="1"/>
  <c r="L67" i="1"/>
  <c r="Q67" i="1" s="1"/>
  <c r="S67" i="1" s="1"/>
  <c r="T67" i="1" s="1"/>
  <c r="G67" i="1"/>
  <c r="I67" i="1" s="1"/>
  <c r="J67" i="1" s="1"/>
  <c r="D67" i="1"/>
  <c r="E67" i="1" s="1"/>
  <c r="B67" i="1"/>
  <c r="R66" i="1"/>
  <c r="R69" i="1" s="1"/>
  <c r="N66" i="1"/>
  <c r="O66" i="1" s="1"/>
  <c r="L66" i="1"/>
  <c r="G66" i="1"/>
  <c r="G69" i="1" s="1"/>
  <c r="I69" i="1" s="1"/>
  <c r="J69" i="1" s="1"/>
  <c r="B66" i="1"/>
  <c r="D66" i="1" s="1"/>
  <c r="E66" i="1" s="1"/>
  <c r="R65" i="1"/>
  <c r="O65" i="1"/>
  <c r="N65" i="1"/>
  <c r="L65" i="1"/>
  <c r="G65" i="1"/>
  <c r="G70" i="1" s="1"/>
  <c r="I70" i="1" s="1"/>
  <c r="J70" i="1" s="1"/>
  <c r="B65" i="1"/>
  <c r="B70" i="1" s="1"/>
  <c r="D70" i="1" s="1"/>
  <c r="E70" i="1" s="1"/>
  <c r="R61" i="1"/>
  <c r="Q61" i="1"/>
  <c r="S61" i="1" s="1"/>
  <c r="T61" i="1" s="1"/>
  <c r="L61" i="1"/>
  <c r="N61" i="1" s="1"/>
  <c r="O61" i="1" s="1"/>
  <c r="I61" i="1"/>
  <c r="J61" i="1" s="1"/>
  <c r="G61" i="1"/>
  <c r="B61" i="1"/>
  <c r="D61" i="1" s="1"/>
  <c r="E61" i="1" s="1"/>
  <c r="R60" i="1"/>
  <c r="L60" i="1"/>
  <c r="N60" i="1" s="1"/>
  <c r="O60" i="1" s="1"/>
  <c r="G60" i="1"/>
  <c r="I60" i="1" s="1"/>
  <c r="J60" i="1" s="1"/>
  <c r="E60" i="1"/>
  <c r="D60" i="1"/>
  <c r="B60" i="1"/>
  <c r="T59" i="1"/>
  <c r="S59" i="1"/>
  <c r="Q59" i="1"/>
  <c r="L59" i="1"/>
  <c r="N59" i="1" s="1"/>
  <c r="O59" i="1" s="1"/>
  <c r="G59" i="1"/>
  <c r="I59" i="1" s="1"/>
  <c r="J59" i="1" s="1"/>
  <c r="B59" i="1"/>
  <c r="D59" i="1" s="1"/>
  <c r="E59" i="1" s="1"/>
  <c r="T58" i="1"/>
  <c r="R58" i="1"/>
  <c r="L58" i="1"/>
  <c r="N58" i="1" s="1"/>
  <c r="O58" i="1" s="1"/>
  <c r="G58" i="1"/>
  <c r="I58" i="1" s="1"/>
  <c r="J58" i="1" s="1"/>
  <c r="B58" i="1"/>
  <c r="Q58" i="1" s="1"/>
  <c r="S58" i="1" s="1"/>
  <c r="T57" i="1"/>
  <c r="R57" i="1"/>
  <c r="N57" i="1"/>
  <c r="O57" i="1" s="1"/>
  <c r="L57" i="1"/>
  <c r="G57" i="1"/>
  <c r="I57" i="1" s="1"/>
  <c r="J57" i="1" s="1"/>
  <c r="B57" i="1"/>
  <c r="Q57" i="1" s="1"/>
  <c r="S57" i="1" s="1"/>
  <c r="R54" i="1"/>
  <c r="Q54" i="1"/>
  <c r="S54" i="1" s="1"/>
  <c r="T54" i="1" s="1"/>
  <c r="O54" i="1"/>
  <c r="N54" i="1"/>
  <c r="S53" i="1"/>
  <c r="T53" i="1" s="1"/>
  <c r="R53" i="1"/>
  <c r="Q53" i="1"/>
  <c r="O53" i="1"/>
  <c r="N53" i="1"/>
  <c r="J53" i="1"/>
  <c r="I53" i="1"/>
  <c r="D53" i="1"/>
  <c r="E53" i="1" s="1"/>
  <c r="R52" i="1"/>
  <c r="Q52" i="1"/>
  <c r="S52" i="1" s="1"/>
  <c r="T52" i="1" s="1"/>
  <c r="N52" i="1"/>
  <c r="O52" i="1" s="1"/>
  <c r="J52" i="1"/>
  <c r="I52" i="1"/>
  <c r="E52" i="1"/>
  <c r="D52" i="1"/>
  <c r="R51" i="1"/>
  <c r="S51" i="1" s="1"/>
  <c r="T51" i="1" s="1"/>
  <c r="Q51" i="1"/>
  <c r="N51" i="1"/>
  <c r="O51" i="1" s="1"/>
  <c r="I51" i="1"/>
  <c r="J51" i="1" s="1"/>
  <c r="D51" i="1"/>
  <c r="E51" i="1" s="1"/>
  <c r="M50" i="1"/>
  <c r="L50" i="1"/>
  <c r="N50" i="1" s="1"/>
  <c r="O50" i="1" s="1"/>
  <c r="H50" i="1"/>
  <c r="G50" i="1"/>
  <c r="I50" i="1" s="1"/>
  <c r="J50" i="1" s="1"/>
  <c r="E50" i="1"/>
  <c r="D50" i="1"/>
  <c r="C50" i="1"/>
  <c r="B50" i="1"/>
  <c r="S49" i="1"/>
  <c r="T49" i="1" s="1"/>
  <c r="R49" i="1"/>
  <c r="Q49" i="1"/>
  <c r="O49" i="1"/>
  <c r="N49" i="1"/>
  <c r="I49" i="1"/>
  <c r="J49" i="1" s="1"/>
  <c r="E49" i="1"/>
  <c r="D49" i="1"/>
  <c r="M47" i="1"/>
  <c r="L47" i="1"/>
  <c r="N47" i="1" s="1"/>
  <c r="O47" i="1" s="1"/>
  <c r="H47" i="1"/>
  <c r="I47" i="1" s="1"/>
  <c r="J47" i="1" s="1"/>
  <c r="G47" i="1"/>
  <c r="C47" i="1"/>
  <c r="B47" i="1"/>
  <c r="D47" i="1" s="1"/>
  <c r="E47" i="1" s="1"/>
  <c r="R46" i="1"/>
  <c r="R47" i="1" s="1"/>
  <c r="Q46" i="1"/>
  <c r="S46" i="1" s="1"/>
  <c r="T46" i="1" s="1"/>
  <c r="N46" i="1"/>
  <c r="O46" i="1" s="1"/>
  <c r="J46" i="1"/>
  <c r="I46" i="1"/>
  <c r="D46" i="1"/>
  <c r="E46" i="1" s="1"/>
  <c r="R39" i="1"/>
  <c r="Q39" i="1"/>
  <c r="S39" i="1" s="1"/>
  <c r="T39" i="1" s="1"/>
  <c r="N39" i="1"/>
  <c r="O39" i="1" s="1"/>
  <c r="I39" i="1"/>
  <c r="D39" i="1"/>
  <c r="E39" i="1" s="1"/>
  <c r="R38" i="1"/>
  <c r="Q38" i="1"/>
  <c r="S38" i="1" s="1"/>
  <c r="T38" i="1" s="1"/>
  <c r="N38" i="1"/>
  <c r="I38" i="1"/>
  <c r="D38" i="1"/>
  <c r="E38" i="1" s="1"/>
  <c r="R37" i="1"/>
  <c r="Q37" i="1"/>
  <c r="S37" i="1" s="1"/>
  <c r="T37" i="1" s="1"/>
  <c r="O37" i="1"/>
  <c r="N37" i="1"/>
  <c r="I37" i="1"/>
  <c r="J37" i="1" s="1"/>
  <c r="E37" i="1"/>
  <c r="D37" i="1"/>
  <c r="S31" i="1"/>
  <c r="T31" i="1" s="1"/>
  <c r="R31" i="1"/>
  <c r="Q31" i="1"/>
  <c r="N31" i="1"/>
  <c r="O31" i="1" s="1"/>
  <c r="I31" i="1"/>
  <c r="D31" i="1"/>
  <c r="E31" i="1" s="1"/>
  <c r="S28" i="1"/>
  <c r="T28" i="1" s="1"/>
  <c r="R28" i="1"/>
  <c r="Q28" i="1"/>
  <c r="N28" i="1"/>
  <c r="O28" i="1" s="1"/>
  <c r="I28" i="1"/>
  <c r="J28" i="1" s="1"/>
  <c r="E28" i="1"/>
  <c r="D28" i="1"/>
  <c r="R27" i="1"/>
  <c r="Q27" i="1"/>
  <c r="S27" i="1" s="1"/>
  <c r="T27" i="1" s="1"/>
  <c r="O27" i="1"/>
  <c r="N27" i="1"/>
  <c r="I27" i="1"/>
  <c r="J27" i="1" s="1"/>
  <c r="D27" i="1"/>
  <c r="E27" i="1" s="1"/>
  <c r="S24" i="1"/>
  <c r="T24" i="1" s="1"/>
  <c r="R24" i="1"/>
  <c r="R76" i="1" s="1"/>
  <c r="Q24" i="1"/>
  <c r="N24" i="1"/>
  <c r="O24" i="1" s="1"/>
  <c r="I24" i="1"/>
  <c r="J24" i="1" s="1"/>
  <c r="D24" i="1"/>
  <c r="E24" i="1" s="1"/>
  <c r="M23" i="1"/>
  <c r="R22" i="1"/>
  <c r="Q22" i="1"/>
  <c r="O22" i="1"/>
  <c r="N22" i="1"/>
  <c r="I22" i="1"/>
  <c r="J22" i="1" s="1"/>
  <c r="E22" i="1"/>
  <c r="D22" i="1"/>
  <c r="M21" i="1"/>
  <c r="M25" i="1" s="1"/>
  <c r="G21" i="1"/>
  <c r="R20" i="1"/>
  <c r="S20" i="1" s="1"/>
  <c r="T20" i="1" s="1"/>
  <c r="Q20" i="1"/>
  <c r="N20" i="1"/>
  <c r="O20" i="1" s="1"/>
  <c r="I20" i="1"/>
  <c r="J20" i="1" s="1"/>
  <c r="E20" i="1"/>
  <c r="D20" i="1"/>
  <c r="M19" i="1"/>
  <c r="L19" i="1"/>
  <c r="H19" i="1"/>
  <c r="H21" i="1" s="1"/>
  <c r="G19" i="1"/>
  <c r="I19" i="1" s="1"/>
  <c r="J19" i="1" s="1"/>
  <c r="C19" i="1"/>
  <c r="C21" i="1" s="1"/>
  <c r="B19" i="1"/>
  <c r="D19" i="1" s="1"/>
  <c r="E19" i="1" s="1"/>
  <c r="R18" i="1"/>
  <c r="Q18" i="1"/>
  <c r="S18" i="1" s="1"/>
  <c r="T18" i="1" s="1"/>
  <c r="N18" i="1"/>
  <c r="I18" i="1"/>
  <c r="J18" i="1" s="1"/>
  <c r="D18" i="1"/>
  <c r="R17" i="1"/>
  <c r="Q17" i="1"/>
  <c r="S17" i="1" s="1"/>
  <c r="T17" i="1" s="1"/>
  <c r="O17" i="1"/>
  <c r="N17" i="1"/>
  <c r="I17" i="1"/>
  <c r="J17" i="1" s="1"/>
  <c r="D17" i="1"/>
  <c r="E17" i="1" s="1"/>
  <c r="R16" i="1"/>
  <c r="Q16" i="1"/>
  <c r="S16" i="1" s="1"/>
  <c r="T16" i="1" s="1"/>
  <c r="N16" i="1"/>
  <c r="O16" i="1" s="1"/>
  <c r="J16" i="1"/>
  <c r="I16" i="1"/>
  <c r="D16" i="1"/>
  <c r="E16" i="1" s="1"/>
  <c r="R15" i="1"/>
  <c r="Q15" i="1"/>
  <c r="S15" i="1" s="1"/>
  <c r="T15" i="1" s="1"/>
  <c r="N15" i="1"/>
  <c r="O15" i="1" s="1"/>
  <c r="J15" i="1"/>
  <c r="I15" i="1"/>
  <c r="E15" i="1"/>
  <c r="D15" i="1"/>
  <c r="R14" i="1"/>
  <c r="R19" i="1" s="1"/>
  <c r="R21" i="1" s="1"/>
  <c r="Q14" i="1"/>
  <c r="Q19" i="1" s="1"/>
  <c r="N14" i="1"/>
  <c r="O14" i="1" s="1"/>
  <c r="I14" i="1"/>
  <c r="J14" i="1" s="1"/>
  <c r="D14" i="1"/>
  <c r="E14" i="1" s="1"/>
  <c r="R13" i="1"/>
  <c r="Q13" i="1"/>
  <c r="S13" i="1" s="1"/>
  <c r="T13" i="1" s="1"/>
  <c r="N13" i="1"/>
  <c r="O13" i="1" s="1"/>
  <c r="I13" i="1"/>
  <c r="J13" i="1" s="1"/>
  <c r="D13" i="1"/>
  <c r="E13" i="1" s="1"/>
  <c r="A3" i="1"/>
  <c r="A2" i="1"/>
  <c r="G23" i="1" l="1"/>
  <c r="I21" i="1"/>
  <c r="J21" i="1" s="1"/>
  <c r="G26" i="1"/>
  <c r="G25" i="1"/>
  <c r="S19" i="1"/>
  <c r="T19" i="1" s="1"/>
  <c r="Q21" i="1"/>
  <c r="R26" i="1"/>
  <c r="R23" i="1"/>
  <c r="R68" i="1"/>
  <c r="R70" i="1"/>
  <c r="C23" i="1"/>
  <c r="C25" i="1"/>
  <c r="C26" i="1"/>
  <c r="C29" i="1" s="1"/>
  <c r="H23" i="1"/>
  <c r="H26" i="1"/>
  <c r="H29" i="1" s="1"/>
  <c r="H25" i="1"/>
  <c r="Q73" i="1"/>
  <c r="B76" i="1"/>
  <c r="D76" i="1" s="1"/>
  <c r="E76" i="1" s="1"/>
  <c r="L21" i="1"/>
  <c r="N19" i="1"/>
  <c r="O19" i="1" s="1"/>
  <c r="S22" i="1"/>
  <c r="T22" i="1" s="1"/>
  <c r="D58" i="1"/>
  <c r="E58" i="1" s="1"/>
  <c r="N67" i="1"/>
  <c r="O67" i="1" s="1"/>
  <c r="G76" i="1"/>
  <c r="I76" i="1" s="1"/>
  <c r="J76" i="1" s="1"/>
  <c r="G75" i="1"/>
  <c r="I75" i="1" s="1"/>
  <c r="J75" i="1" s="1"/>
  <c r="I73" i="1"/>
  <c r="J73" i="1" s="1"/>
  <c r="S14" i="1"/>
  <c r="T14" i="1" s="1"/>
  <c r="B21" i="1"/>
  <c r="D73" i="1"/>
  <c r="E73" i="1" s="1"/>
  <c r="Q66" i="1"/>
  <c r="B75" i="1"/>
  <c r="D75" i="1" s="1"/>
  <c r="E75" i="1" s="1"/>
  <c r="Q47" i="1"/>
  <c r="S47" i="1" s="1"/>
  <c r="T47" i="1" s="1"/>
  <c r="D65" i="1"/>
  <c r="E65" i="1" s="1"/>
  <c r="D57" i="1"/>
  <c r="E57" i="1" s="1"/>
  <c r="R25" i="1"/>
  <c r="Q50" i="1"/>
  <c r="Q60" i="1"/>
  <c r="S60" i="1" s="1"/>
  <c r="T60" i="1" s="1"/>
  <c r="B68" i="1"/>
  <c r="E68" i="1" s="1"/>
  <c r="M26" i="1"/>
  <c r="M29" i="1" s="1"/>
  <c r="G68" i="1"/>
  <c r="J68" i="1" s="1"/>
  <c r="I65" i="1"/>
  <c r="J65" i="1" s="1"/>
  <c r="B69" i="1"/>
  <c r="R50" i="1"/>
  <c r="T50" i="1" s="1"/>
  <c r="Q65" i="1"/>
  <c r="I66" i="1"/>
  <c r="J66" i="1" s="1"/>
  <c r="S65" i="1" l="1"/>
  <c r="T65" i="1" s="1"/>
  <c r="Q68" i="1"/>
  <c r="T68" i="1" s="1"/>
  <c r="L26" i="1"/>
  <c r="L23" i="1"/>
  <c r="O23" i="1" s="1"/>
  <c r="N21" i="1"/>
  <c r="O21" i="1" s="1"/>
  <c r="L25" i="1"/>
  <c r="O25" i="1" s="1"/>
  <c r="E69" i="1"/>
  <c r="D69" i="1"/>
  <c r="S66" i="1"/>
  <c r="T66" i="1" s="1"/>
  <c r="Q69" i="1"/>
  <c r="S69" i="1" s="1"/>
  <c r="T69" i="1" s="1"/>
  <c r="Q70" i="1"/>
  <c r="S70" i="1" s="1"/>
  <c r="T70" i="1" s="1"/>
  <c r="R29" i="1"/>
  <c r="R30" i="1" s="1"/>
  <c r="R32" i="1"/>
  <c r="R33" i="1" s="1"/>
  <c r="Q26" i="1"/>
  <c r="Q25" i="1"/>
  <c r="T25" i="1" s="1"/>
  <c r="S21" i="1"/>
  <c r="T21" i="1" s="1"/>
  <c r="Q23" i="1"/>
  <c r="T23" i="1" s="1"/>
  <c r="M32" i="1"/>
  <c r="M33" i="1" s="1"/>
  <c r="M30" i="1"/>
  <c r="J25" i="1"/>
  <c r="H30" i="1"/>
  <c r="H32" i="1"/>
  <c r="H33" i="1" s="1"/>
  <c r="I26" i="1"/>
  <c r="J26" i="1" s="1"/>
  <c r="G29" i="1"/>
  <c r="B23" i="1"/>
  <c r="E23" i="1" s="1"/>
  <c r="D21" i="1"/>
  <c r="E21" i="1" s="1"/>
  <c r="B25" i="1"/>
  <c r="E25" i="1" s="1"/>
  <c r="B26" i="1"/>
  <c r="Q76" i="1"/>
  <c r="S76" i="1" s="1"/>
  <c r="T76" i="1" s="1"/>
  <c r="Q75" i="1"/>
  <c r="S75" i="1" s="1"/>
  <c r="T75" i="1" s="1"/>
  <c r="S73" i="1"/>
  <c r="T73" i="1" s="1"/>
  <c r="C30" i="1"/>
  <c r="C32" i="1"/>
  <c r="C33" i="1" s="1"/>
  <c r="J23" i="1"/>
  <c r="B29" i="1" l="1"/>
  <c r="D26" i="1"/>
  <c r="E26" i="1" s="1"/>
  <c r="L29" i="1"/>
  <c r="N26" i="1"/>
  <c r="O26" i="1" s="1"/>
  <c r="Q32" i="1"/>
  <c r="Q29" i="1"/>
  <c r="S26" i="1"/>
  <c r="T26" i="1" s="1"/>
  <c r="G30" i="1"/>
  <c r="G32" i="1"/>
  <c r="I29" i="1"/>
  <c r="J29" i="1" s="1"/>
  <c r="G33" i="1" l="1"/>
  <c r="I32" i="1"/>
  <c r="J32" i="1" s="1"/>
  <c r="S29" i="1"/>
  <c r="T29" i="1" s="1"/>
  <c r="Q30" i="1"/>
  <c r="T30" i="1" s="1"/>
  <c r="Q33" i="1"/>
  <c r="T33" i="1" s="1"/>
  <c r="S32" i="1"/>
  <c r="T32" i="1" s="1"/>
  <c r="L32" i="1"/>
  <c r="L30" i="1"/>
  <c r="O30" i="1" s="1"/>
  <c r="N29" i="1"/>
  <c r="O29" i="1" s="1"/>
  <c r="D29" i="1"/>
  <c r="E29" i="1" s="1"/>
  <c r="B30" i="1"/>
  <c r="E30" i="1" s="1"/>
  <c r="B32" i="1"/>
  <c r="B33" i="1" l="1"/>
  <c r="E33" i="1" s="1"/>
  <c r="D32" i="1"/>
  <c r="E32" i="1" s="1"/>
  <c r="L33" i="1"/>
  <c r="O33" i="1" s="1"/>
  <c r="N32" i="1"/>
  <c r="O32" i="1" s="1"/>
</calcChain>
</file>

<file path=xl/sharedStrings.xml><?xml version="1.0" encoding="utf-8"?>
<sst xmlns="http://schemas.openxmlformats.org/spreadsheetml/2006/main" count="92" uniqueCount="70">
  <si>
    <t>REGION XI</t>
  </si>
  <si>
    <t>(In Thousand)</t>
  </si>
  <si>
    <t>NORDECO</t>
  </si>
  <si>
    <t>DASURECO</t>
  </si>
  <si>
    <t>DORECO</t>
  </si>
  <si>
    <t>T O T A L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</si>
  <si>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</si>
  <si>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</si>
  <si>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</si>
  <si>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</si>
  <si>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</si>
  <si>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</si>
  <si>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</si>
  <si>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</si>
  <si>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</si>
  <si>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Other Taxes</t>
  </si>
  <si>
    <t xml:space="preserve">             Others</t>
  </si>
  <si>
    <t xml:space="preserve">  Net Operating Revenue</t>
  </si>
  <si>
    <t xml:space="preserve">  Add:  Other Revenue</t>
  </si>
  <si>
    <t xml:space="preserve">  Total Operating Revenue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</si>
  <si>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</si>
  <si>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</si>
  <si>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</si>
  <si>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</si>
  <si>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</si>
  <si>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</si>
  <si>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</si>
  <si>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</si>
  <si>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</si>
  <si>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</si>
  <si>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Cash-General Fund</t>
  </si>
  <si>
    <t xml:space="preserve">  Sinking Fund-Loan Fund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</si>
  <si>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</si>
  <si>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</si>
  <si>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</si>
  <si>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</si>
  <si>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</si>
  <si>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</si>
  <si>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</si>
  <si>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</si>
  <si>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</si>
  <si>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</si>
  <si>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</si>
  <si>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</si>
  <si>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</si>
  <si>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</si>
  <si>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</si>
  <si>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</si>
  <si>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</si>
  <si>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</si>
  <si>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</si>
  <si>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</si>
  <si>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</si>
  <si>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</si>
  <si>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</si>
  <si>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</si>
  <si>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</si>
  <si>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</si>
  <si>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</si>
  <si>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</si>
  <si>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</si>
  <si>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</si>
  <si>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</si>
  <si>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</si>
  <si>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</si>
  <si>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</si>
  <si>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</si>
  <si>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Mega Large</t>
  </si>
  <si>
    <t xml:space="preserve">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</si>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</sst>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 indent="1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43" fontId="2" fillId="0" borderId="0" xfId="1" applyFont="1"/>
    <xf numFmtId="43" fontId="2" fillId="0" borderId="0" xfId="1" applyFont="1" applyFill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1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43" fontId="2" fillId="0" borderId="0" xfId="1" applyFont="1" applyFill="1" applyAlignment="1">
      <alignment horizontal="right"/>
    </xf>
    <xf numFmtId="164" fontId="5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2" fontId="2" fillId="0" borderId="0" xfId="0" applyNumberFormat="1" applyFont="1"/>
    <xf numFmtId="43" fontId="2" fillId="0" borderId="0" xfId="1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fas%20v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COB%20Evaluation\Financial%20Profile\2023\Q2\Consolidated%20Financial%20Profile%20as%20of%20June%2030,%202023%20as%20of%20Nov%2030,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IE%20FILES\2021%20WORKING%20DATA%20MECQ\2021%20KPS%20EC%20CLASS\JUNE%202021%20FP%20CE%20CLASS\FINANCIAL%20PROFILE%20JUNE%202021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Financial Profile as of June 30, 2023</v>
          </cell>
        </row>
      </sheetData>
      <sheetData sheetId="9">
        <row r="2">
          <cell r="A2" t="str">
            <v>Financial Profile as of June 30, 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Financial Profile as of June 30, 2023</v>
          </cell>
        </row>
      </sheetData>
      <sheetData sheetId="19">
        <row r="2">
          <cell r="A2" t="str">
            <v>Financial Profile as of June 30, 2023</v>
          </cell>
        </row>
      </sheetData>
      <sheetData sheetId="20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36">
          <cell r="D136">
            <v>398067.46179000003</v>
          </cell>
          <cell r="E136">
            <v>421244.16467999999</v>
          </cell>
          <cell r="F136">
            <v>-23176.702889999957</v>
          </cell>
          <cell r="I136">
            <v>-1.8988341801743633</v>
          </cell>
          <cell r="K136">
            <v>237174.27183000001</v>
          </cell>
        </row>
        <row r="137">
          <cell r="D137">
            <v>171239.61088999998</v>
          </cell>
          <cell r="E137">
            <v>178497.56405000002</v>
          </cell>
          <cell r="F137">
            <v>-7257.9531600000337</v>
          </cell>
          <cell r="I137">
            <v>-4.8842609496173814</v>
          </cell>
          <cell r="K137">
            <v>37327.961840000004</v>
          </cell>
        </row>
        <row r="138">
          <cell r="D138">
            <v>263234.50387999997</v>
          </cell>
          <cell r="E138">
            <v>263240.08523999999</v>
          </cell>
          <cell r="F138">
            <v>-5.5813600000110455</v>
          </cell>
          <cell r="I138">
            <v>-7.8277879910193743E-4</v>
          </cell>
          <cell r="K138">
            <v>93408.420639999997</v>
          </cell>
        </row>
        <row r="139">
          <cell r="I139">
            <v>-1.4619315985597905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  <cell r="B65">
            <v>319536.40553299099</v>
          </cell>
          <cell r="C65">
            <v>314248</v>
          </cell>
          <cell r="D65">
            <v>5288.4055329909897</v>
          </cell>
          <cell r="E65">
            <v>1.6828764329418135</v>
          </cell>
          <cell r="G65">
            <v>252495.16910000003</v>
          </cell>
          <cell r="H65">
            <v>229036</v>
          </cell>
          <cell r="I65">
            <v>23459.169100000028</v>
          </cell>
          <cell r="J65">
            <v>10.242568460853327</v>
          </cell>
          <cell r="L65">
            <v>94875.009139999995</v>
          </cell>
          <cell r="M65">
            <v>95714</v>
          </cell>
          <cell r="N65">
            <v>-838.99086000000534</v>
          </cell>
          <cell r="O65">
            <v>-0.87656023152308471</v>
          </cell>
        </row>
        <row r="66">
          <cell r="A66" t="str">
            <v xml:space="preserve">  MWH Sales</v>
          </cell>
          <cell r="B66">
            <v>280661.29736000003</v>
          </cell>
          <cell r="C66">
            <v>259467</v>
          </cell>
          <cell r="D66">
            <v>21194.297360000026</v>
          </cell>
          <cell r="E66">
            <v>8.1683980467651089</v>
          </cell>
          <cell r="G66">
            <v>227342.15400000001</v>
          </cell>
          <cell r="H66">
            <v>206602</v>
          </cell>
          <cell r="I66">
            <v>20740.15400000001</v>
          </cell>
          <cell r="J66">
            <v>10.038699528562168</v>
          </cell>
          <cell r="L66">
            <v>82496.841329999996</v>
          </cell>
          <cell r="M66">
            <v>80345</v>
          </cell>
          <cell r="N66">
            <v>2151.8413299999957</v>
          </cell>
          <cell r="O66">
            <v>2.6782517020349688</v>
          </cell>
        </row>
        <row r="67">
          <cell r="A67" t="str">
            <v xml:space="preserve">  MWH Coop Consumption</v>
          </cell>
          <cell r="B67">
            <v>330.94600000000003</v>
          </cell>
          <cell r="C67">
            <v>275</v>
          </cell>
          <cell r="D67">
            <v>55.946000000000026</v>
          </cell>
          <cell r="E67">
            <v>20.344000000000008</v>
          </cell>
          <cell r="G67">
            <v>645.01800000000003</v>
          </cell>
          <cell r="H67">
            <v>825</v>
          </cell>
          <cell r="I67">
            <v>-179.98199999999997</v>
          </cell>
          <cell r="J67">
            <v>-21.815999999999995</v>
          </cell>
          <cell r="L67">
            <v>147.191</v>
          </cell>
          <cell r="M67">
            <v>127</v>
          </cell>
          <cell r="N67">
            <v>20.191000000000003</v>
          </cell>
          <cell r="O67">
            <v>15.898425196850397</v>
          </cell>
        </row>
        <row r="68">
          <cell r="A68" t="str">
            <v xml:space="preserve">  Systems Loss </v>
          </cell>
          <cell r="B68">
            <v>12.062526055113747</v>
          </cell>
          <cell r="C68">
            <v>17.344899569766554</v>
          </cell>
          <cell r="E68">
            <v>-5.2823735146528072</v>
          </cell>
          <cell r="G68">
            <v>9.7063231694122809</v>
          </cell>
          <cell r="H68">
            <v>9.4347613475610821</v>
          </cell>
          <cell r="J68">
            <v>0.27156182185119881</v>
          </cell>
          <cell r="L68">
            <v>12.891673920106458</v>
          </cell>
          <cell r="M68">
            <v>15.924525147836263</v>
          </cell>
          <cell r="O68">
            <v>-3.0328512277298056</v>
          </cell>
        </row>
        <row r="69">
          <cell r="A69" t="str">
            <v xml:space="preserve">  Average Systems Rate (P)</v>
          </cell>
          <cell r="B69">
            <v>13.970658644823986</v>
          </cell>
          <cell r="C69">
            <v>13.646163789614866</v>
          </cell>
          <cell r="D69">
            <v>0.32449485520912091</v>
          </cell>
          <cell r="E69">
            <v>0.32449485520912091</v>
          </cell>
          <cell r="G69">
            <v>13.915014147462646</v>
          </cell>
          <cell r="H69">
            <v>12.663288144744898</v>
          </cell>
          <cell r="I69">
            <v>1.2517260027177475</v>
          </cell>
          <cell r="J69">
            <v>9.884683886287446</v>
          </cell>
          <cell r="L69">
            <v>13.588058870190899</v>
          </cell>
          <cell r="M69">
            <v>10.857483721045829</v>
          </cell>
          <cell r="N69">
            <v>2.7305751491450696</v>
          </cell>
          <cell r="O69">
            <v>25.149244698863349</v>
          </cell>
        </row>
        <row r="70">
          <cell r="A70" t="str">
            <v xml:space="preserve">  Average Power Cost (P)</v>
          </cell>
          <cell r="B70">
            <v>10.270803108634068</v>
          </cell>
          <cell r="C70">
            <v>9.8088158078969485</v>
          </cell>
          <cell r="D70">
            <v>0.46198730073711936</v>
          </cell>
          <cell r="E70">
            <v>4.7099192174164335</v>
          </cell>
          <cell r="G70">
            <v>9.5147088400274651</v>
          </cell>
          <cell r="H70">
            <v>8.9065098936411733</v>
          </cell>
          <cell r="I70">
            <v>0.60819894638629179</v>
          </cell>
          <cell r="J70">
            <v>6.8287011820479426</v>
          </cell>
          <cell r="L70">
            <v>9.5080563701329623</v>
          </cell>
          <cell r="M70">
            <v>7.4257179722924551</v>
          </cell>
          <cell r="N70">
            <v>2.0823383978405072</v>
          </cell>
          <cell r="O70">
            <v>28.042249996705049</v>
          </cell>
        </row>
        <row r="71">
          <cell r="A71" t="str">
            <v xml:space="preserve">  Average Collection Period</v>
          </cell>
          <cell r="E71">
            <v>0</v>
          </cell>
          <cell r="J71">
            <v>0</v>
          </cell>
          <cell r="O71">
            <v>0</v>
          </cell>
        </row>
        <row r="72">
          <cell r="A72" t="str">
            <v xml:space="preserve">  Collection Efficiency (%)</v>
          </cell>
          <cell r="B72">
            <v>70.83</v>
          </cell>
          <cell r="C72">
            <v>65.5</v>
          </cell>
          <cell r="E72">
            <v>5.3299999999999983</v>
          </cell>
          <cell r="G72">
            <v>97.53</v>
          </cell>
          <cell r="H72">
            <v>95.24</v>
          </cell>
          <cell r="J72">
            <v>2.2900000000000063</v>
          </cell>
          <cell r="L72">
            <v>96.06</v>
          </cell>
          <cell r="M72">
            <v>95.92</v>
          </cell>
          <cell r="O72">
            <v>0.14000000000000057</v>
          </cell>
        </row>
        <row r="73">
          <cell r="A73" t="str">
            <v xml:space="preserve">  Number of Consumers</v>
          </cell>
          <cell r="B73">
            <v>213698</v>
          </cell>
          <cell r="C73">
            <v>207551</v>
          </cell>
          <cell r="D73">
            <v>6147</v>
          </cell>
          <cell r="E73">
            <v>2.9616817071466772</v>
          </cell>
          <cell r="G73">
            <v>187428</v>
          </cell>
          <cell r="H73">
            <v>187794</v>
          </cell>
          <cell r="I73">
            <v>-366</v>
          </cell>
          <cell r="J73">
            <v>-0.194894405572063</v>
          </cell>
          <cell r="L73">
            <v>98729</v>
          </cell>
          <cell r="M73">
            <v>97380</v>
          </cell>
          <cell r="N73">
            <v>1349</v>
          </cell>
          <cell r="O73">
            <v>1.3852947217087697</v>
          </cell>
        </row>
        <row r="74">
          <cell r="A74" t="str">
            <v xml:space="preserve">  Number of Employees-Actual</v>
          </cell>
          <cell r="B74">
            <v>460</v>
          </cell>
          <cell r="C74">
            <v>460</v>
          </cell>
          <cell r="D74">
            <v>0</v>
          </cell>
          <cell r="E74">
            <v>0</v>
          </cell>
          <cell r="G74">
            <v>289</v>
          </cell>
          <cell r="H74">
            <v>294</v>
          </cell>
          <cell r="I74">
            <v>-5</v>
          </cell>
          <cell r="J74">
            <v>-1.7006802721088436</v>
          </cell>
          <cell r="L74">
            <v>186</v>
          </cell>
          <cell r="M74">
            <v>195</v>
          </cell>
          <cell r="N74">
            <v>-9</v>
          </cell>
          <cell r="O74">
            <v>-4.6153846153846159</v>
          </cell>
        </row>
        <row r="75">
          <cell r="A75" t="str">
            <v xml:space="preserve">  No. of Consumers per Employee</v>
          </cell>
          <cell r="B75">
            <v>464.56086956521739</v>
          </cell>
          <cell r="C75">
            <v>451.19782608695652</v>
          </cell>
          <cell r="D75">
            <v>13.363043478260863</v>
          </cell>
          <cell r="E75">
            <v>2.9616817071466754</v>
          </cell>
          <cell r="G75">
            <v>648.53979238754323</v>
          </cell>
          <cell r="H75">
            <v>638.75510204081638</v>
          </cell>
          <cell r="I75">
            <v>9.7846903467268476</v>
          </cell>
          <cell r="J75">
            <v>1.5318375251273699</v>
          </cell>
          <cell r="L75">
            <v>530.80107526881716</v>
          </cell>
          <cell r="M75">
            <v>499.38461538461536</v>
          </cell>
          <cell r="N75">
            <v>31.416459884201799</v>
          </cell>
          <cell r="O75">
            <v>6.2910347888882221</v>
          </cell>
        </row>
        <row r="76">
          <cell r="A76" t="str">
            <v xml:space="preserve">  Non-Power Cost/Consumer</v>
          </cell>
          <cell r="B76">
            <v>1308.6032727493937</v>
          </cell>
          <cell r="C76">
            <v>1290.2291484984412</v>
          </cell>
          <cell r="D76">
            <v>18.374124250952491</v>
          </cell>
          <cell r="E76">
            <v>1.4240977482438804</v>
          </cell>
          <cell r="G76">
            <v>1266.5352102674094</v>
          </cell>
          <cell r="H76">
            <v>1255.9758032738</v>
          </cell>
          <cell r="I76">
            <v>10.5594069936094</v>
          </cell>
          <cell r="J76">
            <v>0.84073331397670825</v>
          </cell>
          <cell r="L76">
            <v>741.27204752403043</v>
          </cell>
          <cell r="M76">
            <v>803.99332511809405</v>
          </cell>
          <cell r="N76">
            <v>-62.721277594063622</v>
          </cell>
          <cell r="O76">
            <v>-7.8012186960446277</v>
          </cell>
        </row>
        <row r="77">
          <cell r="A77" t="str">
            <v xml:space="preserve">  Peak Load</v>
          </cell>
          <cell r="B77">
            <v>111136.92033333334</v>
          </cell>
          <cell r="C77">
            <v>104022.36466666668</v>
          </cell>
          <cell r="D77">
            <v>7114.5556666666671</v>
          </cell>
          <cell r="E77">
            <v>6.8394481220118637</v>
          </cell>
          <cell r="G77">
            <v>83130.3</v>
          </cell>
          <cell r="H77">
            <v>78143</v>
          </cell>
          <cell r="I77">
            <v>4987.3000000000029</v>
          </cell>
          <cell r="J77">
            <v>6.3822735241800324</v>
          </cell>
          <cell r="L77">
            <v>33484</v>
          </cell>
          <cell r="M77">
            <v>32600</v>
          </cell>
          <cell r="N77">
            <v>884</v>
          </cell>
          <cell r="O77">
            <v>2.7116564417177913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7">
          <cell r="R97" t="str">
            <v>164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258"/>
  <sheetViews>
    <sheetView tabSelected="1" zoomScale="70" zoomScaleNormal="70" workbookViewId="0">
      <pane xSplit="1" ySplit="9" topLeftCell="B64" activePane="bottomRight" state="frozen"/>
      <selection activeCell="C83" sqref="C83"/>
      <selection pane="topRight" activeCell="C83" sqref="C83"/>
      <selection pane="bottomLeft" activeCell="C83" sqref="C83"/>
      <selection pane="bottomRight" activeCell="A81" sqref="A81"/>
    </sheetView>
  </sheetViews>
  <sheetFormatPr defaultColWidth="12.5546875" defaultRowHeight="15" x14ac:dyDescent="0.25"/>
  <cols>
    <col min="1" max="1" width="46.88671875" style="2" customWidth="1"/>
    <col min="2" max="2" width="18.6640625" style="2" customWidth="1"/>
    <col min="3" max="3" width="16.33203125" style="2" customWidth="1"/>
    <col min="4" max="4" width="16.5546875" style="2" customWidth="1"/>
    <col min="5" max="5" width="11.44140625" style="2" customWidth="1"/>
    <col min="6" max="6" width="1.44140625" style="2" customWidth="1"/>
    <col min="7" max="7" width="16.33203125" style="2" customWidth="1"/>
    <col min="8" max="8" width="16.44140625" style="2" customWidth="1"/>
    <col min="9" max="9" width="14.5546875" style="2" customWidth="1"/>
    <col min="10" max="10" width="10.5546875" style="2" customWidth="1"/>
    <col min="11" max="11" width="1.5546875" style="2" customWidth="1"/>
    <col min="12" max="12" width="16.6640625" style="2" customWidth="1"/>
    <col min="13" max="13" width="14.33203125" style="2" customWidth="1"/>
    <col min="14" max="14" width="16.109375" style="2" customWidth="1"/>
    <col min="15" max="15" width="11.44140625" style="2" customWidth="1"/>
    <col min="16" max="16" width="1.33203125" style="2" customWidth="1"/>
    <col min="17" max="18" width="16.33203125" style="2" customWidth="1"/>
    <col min="19" max="19" width="18.109375" style="2" customWidth="1"/>
    <col min="20" max="20" width="10.44140625" style="2" customWidth="1"/>
    <col min="21" max="21" width="6.109375" style="2" customWidth="1"/>
    <col min="22" max="24" width="12.5546875" style="2"/>
    <col min="25" max="25" width="6.109375" style="2" customWidth="1"/>
    <col min="26" max="29" width="12.5546875" style="2"/>
    <col min="30" max="30" width="6.109375" style="2" customWidth="1"/>
    <col min="31" max="34" width="12.5546875" style="2"/>
    <col min="35" max="35" width="6.109375" style="2" customWidth="1"/>
    <col min="36" max="39" width="12.5546875" style="2"/>
    <col min="40" max="40" width="6.109375" style="2" customWidth="1"/>
    <col min="41" max="44" width="12.5546875" style="2"/>
    <col min="45" max="45" width="6.109375" style="2" customWidth="1"/>
    <col min="46" max="16384" width="12.5546875" style="2"/>
  </cols>
  <sheetData>
    <row r="1" spans="1:34" ht="15.6" x14ac:dyDescent="0.3">
      <c r="A1" s="1" t="s">
        <v>0</v>
      </c>
    </row>
    <row r="2" spans="1:34" ht="15.6" x14ac:dyDescent="0.3">
      <c r="A2" s="1" t="str">
        <f>+[4]CARAGA!A2</f>
        <v>Financial Profile as of June 30, 2023</v>
      </c>
    </row>
    <row r="3" spans="1:34" ht="15.6" x14ac:dyDescent="0.3">
      <c r="A3" s="1" t="str">
        <f>+[4]CARAGA!A3</f>
        <v>With Comparative Figures as of June 30, 2022</v>
      </c>
    </row>
    <row r="4" spans="1:34" ht="15.6" x14ac:dyDescent="0.3">
      <c r="A4" s="3" t="s">
        <v>1</v>
      </c>
    </row>
    <row r="5" spans="1:34" ht="14.25" customHeight="1" x14ac:dyDescent="0.25">
      <c r="B5" s="27"/>
      <c r="C5" s="27"/>
      <c r="D5" s="27"/>
      <c r="E5" s="27"/>
      <c r="G5" s="27"/>
      <c r="H5" s="27"/>
      <c r="I5" s="27"/>
      <c r="J5" s="27"/>
      <c r="L5" s="27"/>
      <c r="M5" s="27"/>
      <c r="N5" s="27"/>
      <c r="O5" s="27"/>
      <c r="Q5" s="27"/>
      <c r="R5" s="27"/>
      <c r="S5" s="27"/>
      <c r="T5" s="27"/>
    </row>
    <row r="6" spans="1:34" ht="15.6" x14ac:dyDescent="0.3">
      <c r="B6" s="28" t="s">
        <v>2</v>
      </c>
      <c r="C6" s="28"/>
      <c r="D6" s="28"/>
      <c r="E6" s="28"/>
      <c r="F6" s="4"/>
      <c r="G6" s="28" t="s">
        <v>3</v>
      </c>
      <c r="H6" s="28"/>
      <c r="I6" s="28"/>
      <c r="J6" s="28"/>
      <c r="K6" s="4"/>
      <c r="L6" s="28" t="s">
        <v>4</v>
      </c>
      <c r="M6" s="28"/>
      <c r="N6" s="28"/>
      <c r="O6" s="28"/>
      <c r="P6" s="4"/>
      <c r="Q6" s="5" t="s">
        <v>5</v>
      </c>
      <c r="R6" s="5"/>
      <c r="S6" s="5"/>
      <c r="T6" s="6"/>
      <c r="U6" s="7"/>
      <c r="V6" s="5"/>
      <c r="W6" s="5"/>
      <c r="X6" s="6"/>
      <c r="Z6" s="5"/>
      <c r="AA6" s="5"/>
      <c r="AB6" s="5"/>
      <c r="AC6" s="5"/>
      <c r="AD6" s="7"/>
      <c r="AE6" s="5"/>
      <c r="AF6" s="5"/>
      <c r="AG6" s="5"/>
      <c r="AH6" s="5"/>
    </row>
    <row r="8" spans="1:34" x14ac:dyDescent="0.25">
      <c r="B8" s="8">
        <v>2023</v>
      </c>
      <c r="C8" s="8">
        <v>2022</v>
      </c>
      <c r="D8" s="27" t="s">
        <v>6</v>
      </c>
      <c r="E8" s="27"/>
      <c r="F8" s="8"/>
      <c r="G8" s="8">
        <v>2023</v>
      </c>
      <c r="H8" s="8">
        <v>2022</v>
      </c>
      <c r="I8" s="27" t="s">
        <v>6</v>
      </c>
      <c r="J8" s="27"/>
      <c r="K8" s="8"/>
      <c r="L8" s="8">
        <v>2023</v>
      </c>
      <c r="M8" s="8">
        <v>2022</v>
      </c>
      <c r="N8" s="27" t="s">
        <v>6</v>
      </c>
      <c r="O8" s="27"/>
      <c r="P8" s="8"/>
      <c r="Q8" s="8">
        <v>2023</v>
      </c>
      <c r="R8" s="8">
        <v>2022</v>
      </c>
      <c r="S8" s="27" t="s">
        <v>6</v>
      </c>
      <c r="T8" s="27"/>
    </row>
    <row r="9" spans="1:34" x14ac:dyDescent="0.25">
      <c r="B9" s="8" t="s">
        <v>7</v>
      </c>
      <c r="C9" s="8" t="s">
        <v>7</v>
      </c>
      <c r="D9" s="8" t="s">
        <v>8</v>
      </c>
      <c r="E9" s="8" t="s">
        <v>9</v>
      </c>
      <c r="F9" s="8"/>
      <c r="G9" s="8" t="s">
        <v>7</v>
      </c>
      <c r="H9" s="8" t="s">
        <v>7</v>
      </c>
      <c r="I9" s="8" t="s">
        <v>8</v>
      </c>
      <c r="J9" s="8" t="s">
        <v>9</v>
      </c>
      <c r="K9" s="8"/>
      <c r="L9" s="8" t="s">
        <v>7</v>
      </c>
      <c r="M9" s="8" t="s">
        <v>7</v>
      </c>
      <c r="N9" s="8" t="s">
        <v>8</v>
      </c>
      <c r="O9" s="8" t="s">
        <v>9</v>
      </c>
      <c r="P9" s="8"/>
      <c r="Q9" s="8" t="s">
        <v>7</v>
      </c>
      <c r="R9" s="8" t="s">
        <v>7</v>
      </c>
      <c r="S9" s="8" t="s">
        <v>8</v>
      </c>
      <c r="T9" s="8" t="s">
        <v>9</v>
      </c>
    </row>
    <row r="11" spans="1:34" ht="15.6" x14ac:dyDescent="0.3">
      <c r="A11" s="1" t="s">
        <v>10</v>
      </c>
    </row>
    <row r="12" spans="1:34" ht="14.1" customHeight="1" x14ac:dyDescent="0.25"/>
    <row r="13" spans="1:34" s="12" customFormat="1" ht="15" customHeight="1" x14ac:dyDescent="0.25">
      <c r="A13" s="9" t="s">
        <v>11</v>
      </c>
      <c r="B13" s="10">
        <v>3921023.1802300001</v>
      </c>
      <c r="C13" s="10">
        <v>3540729.18</v>
      </c>
      <c r="D13" s="11">
        <f t="shared" ref="D13:D22" si="0">B13-C13</f>
        <v>380294.00022999989</v>
      </c>
      <c r="E13" s="11">
        <f t="shared" ref="E13:E22" si="1">D13/C13*100</f>
        <v>10.740555995587323</v>
      </c>
      <c r="F13" s="11"/>
      <c r="G13" s="10">
        <v>3172444.72382</v>
      </c>
      <c r="H13" s="10">
        <v>2626707.87</v>
      </c>
      <c r="I13" s="11">
        <f t="shared" ref="I13:I22" si="2">G13-H13</f>
        <v>545736.85381999984</v>
      </c>
      <c r="J13" s="11">
        <f t="shared" ref="J13:J22" si="3">I13/H13*100</f>
        <v>20.776457863964897</v>
      </c>
      <c r="K13" s="11"/>
      <c r="L13" s="10">
        <v>1122971.9765699999</v>
      </c>
      <c r="M13" s="10">
        <v>873723.43</v>
      </c>
      <c r="N13" s="11">
        <f t="shared" ref="N13:N22" si="4">L13-M13</f>
        <v>249248.54656999989</v>
      </c>
      <c r="O13" s="11">
        <f t="shared" ref="O13:O22" si="5">N13/M13*100</f>
        <v>28.527167523709409</v>
      </c>
      <c r="P13" s="11"/>
      <c r="Q13" s="10">
        <f t="shared" ref="Q13:R24" si="6">B13+G13+L13</f>
        <v>8216439.88062</v>
      </c>
      <c r="R13" s="11">
        <f t="shared" si="6"/>
        <v>7041160.4800000004</v>
      </c>
      <c r="S13" s="11">
        <f t="shared" ref="S13:S22" si="7">Q13-R13</f>
        <v>1175279.4006199995</v>
      </c>
      <c r="T13" s="11">
        <f t="shared" ref="T13:T22" si="8">S13/R13*100</f>
        <v>16.691558216267204</v>
      </c>
    </row>
    <row r="14" spans="1:34" s="12" customFormat="1" ht="15" customHeight="1" x14ac:dyDescent="0.25">
      <c r="A14" s="9" t="s">
        <v>12</v>
      </c>
      <c r="B14" s="10">
        <v>57046.034110000001</v>
      </c>
      <c r="C14" s="10">
        <v>55896.61</v>
      </c>
      <c r="D14" s="11">
        <f t="shared" si="0"/>
        <v>1149.4241099999999</v>
      </c>
      <c r="E14" s="11">
        <f t="shared" si="1"/>
        <v>2.0563395705034706</v>
      </c>
      <c r="F14" s="11"/>
      <c r="G14" s="10">
        <v>64993.331790000011</v>
      </c>
      <c r="H14" s="10">
        <v>58230.26</v>
      </c>
      <c r="I14" s="11">
        <f t="shared" si="2"/>
        <v>6763.0717900000091</v>
      </c>
      <c r="J14" s="11">
        <f t="shared" si="3"/>
        <v>11.614359595852756</v>
      </c>
      <c r="K14" s="11"/>
      <c r="L14" s="10">
        <v>29119.562619999997</v>
      </c>
      <c r="M14" s="10">
        <v>28386.03</v>
      </c>
      <c r="N14" s="11">
        <f t="shared" si="4"/>
        <v>733.53261999999813</v>
      </c>
      <c r="O14" s="11">
        <f t="shared" si="5"/>
        <v>2.5841324764329432</v>
      </c>
      <c r="P14" s="11"/>
      <c r="Q14" s="10">
        <f t="shared" si="6"/>
        <v>151158.92852000002</v>
      </c>
      <c r="R14" s="11">
        <f t="shared" si="6"/>
        <v>142512.9</v>
      </c>
      <c r="S14" s="11">
        <f t="shared" si="7"/>
        <v>8646.0285200000217</v>
      </c>
      <c r="T14" s="11">
        <f t="shared" si="8"/>
        <v>6.066839226484074</v>
      </c>
    </row>
    <row r="15" spans="1:34" s="12" customFormat="1" ht="15" customHeight="1" x14ac:dyDescent="0.25">
      <c r="A15" s="9" t="s">
        <v>13</v>
      </c>
      <c r="B15" s="10">
        <v>67017.325160000008</v>
      </c>
      <c r="C15" s="10">
        <v>77076.28</v>
      </c>
      <c r="D15" s="11">
        <f t="shared" si="0"/>
        <v>-10058.954839999991</v>
      </c>
      <c r="E15" s="11">
        <f t="shared" si="1"/>
        <v>-13.050649097231979</v>
      </c>
      <c r="F15" s="11"/>
      <c r="G15" s="10">
        <v>54112.884870000002</v>
      </c>
      <c r="H15" s="10">
        <v>61487.240000000005</v>
      </c>
      <c r="I15" s="11">
        <f t="shared" si="2"/>
        <v>-7374.3551300000036</v>
      </c>
      <c r="J15" s="11">
        <f t="shared" si="3"/>
        <v>-11.993309717593444</v>
      </c>
      <c r="K15" s="11"/>
      <c r="L15" s="10">
        <v>19622.165790000003</v>
      </c>
      <c r="M15" s="10">
        <v>23871.37</v>
      </c>
      <c r="N15" s="11">
        <f t="shared" si="4"/>
        <v>-4249.2042099999962</v>
      </c>
      <c r="O15" s="11">
        <f t="shared" si="5"/>
        <v>-17.800420378051182</v>
      </c>
      <c r="P15" s="11"/>
      <c r="Q15" s="10">
        <f t="shared" si="6"/>
        <v>140752.37582000002</v>
      </c>
      <c r="R15" s="11">
        <f t="shared" si="6"/>
        <v>162434.89000000001</v>
      </c>
      <c r="S15" s="11">
        <f t="shared" si="7"/>
        <v>-21682.514179999998</v>
      </c>
      <c r="T15" s="11">
        <f t="shared" si="8"/>
        <v>-13.348434058717309</v>
      </c>
    </row>
    <row r="16" spans="1:34" s="12" customFormat="1" ht="15" customHeight="1" x14ac:dyDescent="0.25">
      <c r="A16" s="9" t="s">
        <v>14</v>
      </c>
      <c r="B16" s="10">
        <v>393593.82944999996</v>
      </c>
      <c r="C16" s="10">
        <v>351234.44</v>
      </c>
      <c r="D16" s="11">
        <f t="shared" si="0"/>
        <v>42359.389449999959</v>
      </c>
      <c r="E16" s="11">
        <f t="shared" si="1"/>
        <v>12.060146906436612</v>
      </c>
      <c r="F16" s="11"/>
      <c r="G16" s="10">
        <v>322437.83273000002</v>
      </c>
      <c r="H16" s="10">
        <v>241463.86</v>
      </c>
      <c r="I16" s="11">
        <f t="shared" si="2"/>
        <v>80973.972730000038</v>
      </c>
      <c r="J16" s="11">
        <f t="shared" si="3"/>
        <v>33.534613722318547</v>
      </c>
      <c r="K16" s="11"/>
      <c r="L16" s="10">
        <v>107556.27370999999</v>
      </c>
      <c r="M16" s="10">
        <v>80801.94</v>
      </c>
      <c r="N16" s="11">
        <f t="shared" si="4"/>
        <v>26754.333709999992</v>
      </c>
      <c r="O16" s="11">
        <f t="shared" si="5"/>
        <v>33.111004154108173</v>
      </c>
      <c r="P16" s="11"/>
      <c r="Q16" s="10">
        <f t="shared" si="6"/>
        <v>823587.93588999996</v>
      </c>
      <c r="R16" s="11">
        <f t="shared" si="6"/>
        <v>673500.24</v>
      </c>
      <c r="S16" s="11">
        <f t="shared" si="7"/>
        <v>150087.69588999997</v>
      </c>
      <c r="T16" s="11">
        <f t="shared" si="8"/>
        <v>22.28472790002272</v>
      </c>
    </row>
    <row r="17" spans="1:34" s="12" customFormat="1" ht="15" customHeight="1" x14ac:dyDescent="0.25">
      <c r="A17" s="13" t="s">
        <v>15</v>
      </c>
      <c r="B17" s="10">
        <v>8210.2022199999992</v>
      </c>
      <c r="C17" s="10">
        <v>6343.4895699999997</v>
      </c>
      <c r="D17" s="11">
        <f>B17-C17</f>
        <v>1866.7126499999995</v>
      </c>
      <c r="E17" s="11">
        <f>D17/C17*100</f>
        <v>29.427220292568396</v>
      </c>
      <c r="F17" s="11"/>
      <c r="G17" s="10">
        <v>4789.9945500000003</v>
      </c>
      <c r="H17" s="10">
        <v>1895.1847899999998</v>
      </c>
      <c r="I17" s="11">
        <f t="shared" si="2"/>
        <v>2894.8097600000006</v>
      </c>
      <c r="J17" s="11">
        <f t="shared" si="3"/>
        <v>152.74551459438428</v>
      </c>
      <c r="K17" s="11"/>
      <c r="L17" s="10">
        <v>45.034739999999992</v>
      </c>
      <c r="M17" s="10">
        <v>8766.4444299999996</v>
      </c>
      <c r="N17" s="11">
        <f t="shared" si="4"/>
        <v>-8721.4096900000004</v>
      </c>
      <c r="O17" s="11">
        <f t="shared" si="5"/>
        <v>-99.48628271861412</v>
      </c>
      <c r="P17" s="11"/>
      <c r="Q17" s="10">
        <f>B17+G17+L17</f>
        <v>13045.231509999998</v>
      </c>
      <c r="R17" s="11">
        <f>C17+H17+M17</f>
        <v>17005.11879</v>
      </c>
      <c r="S17" s="11">
        <f>Q17-R17</f>
        <v>-3959.8872800000026</v>
      </c>
      <c r="T17" s="11">
        <f>S17/R17*100</f>
        <v>-23.286442916991835</v>
      </c>
    </row>
    <row r="18" spans="1:34" s="12" customFormat="1" ht="15" customHeight="1" x14ac:dyDescent="0.25">
      <c r="A18" s="14" t="s">
        <v>16</v>
      </c>
      <c r="B18" s="10">
        <v>0</v>
      </c>
      <c r="C18" s="10">
        <v>0</v>
      </c>
      <c r="D18" s="11">
        <f t="shared" si="0"/>
        <v>0</v>
      </c>
      <c r="E18" s="11"/>
      <c r="F18" s="11"/>
      <c r="G18" s="10">
        <v>-3.0683699999999998</v>
      </c>
      <c r="H18" s="10">
        <v>-12.929499999999999</v>
      </c>
      <c r="I18" s="11">
        <f t="shared" si="2"/>
        <v>9.8611299999999993</v>
      </c>
      <c r="J18" s="11">
        <f t="shared" si="3"/>
        <v>-76.268455856761662</v>
      </c>
      <c r="K18" s="11"/>
      <c r="L18" s="10">
        <v>0</v>
      </c>
      <c r="M18" s="10">
        <v>0</v>
      </c>
      <c r="N18" s="11">
        <f t="shared" si="4"/>
        <v>0</v>
      </c>
      <c r="O18" s="11"/>
      <c r="P18" s="11"/>
      <c r="Q18" s="10">
        <f t="shared" si="6"/>
        <v>-3.0683699999999998</v>
      </c>
      <c r="R18" s="11">
        <f t="shared" si="6"/>
        <v>-12.929499999999999</v>
      </c>
      <c r="S18" s="11">
        <f t="shared" si="7"/>
        <v>9.8611299999999993</v>
      </c>
      <c r="T18" s="11">
        <f>S18/R18*100</f>
        <v>-76.268455856761662</v>
      </c>
    </row>
    <row r="19" spans="1:34" s="12" customFormat="1" ht="15" customHeight="1" x14ac:dyDescent="0.25">
      <c r="A19" s="9" t="s">
        <v>17</v>
      </c>
      <c r="B19" s="11">
        <f>B13-B14-B15-B16-B17-B18</f>
        <v>3395155.7892900002</v>
      </c>
      <c r="C19" s="11">
        <f>C13-C14-C15-C16-C17-C18</f>
        <v>3050178.3604300003</v>
      </c>
      <c r="D19" s="11">
        <f t="shared" si="0"/>
        <v>344977.42885999987</v>
      </c>
      <c r="E19" s="11">
        <f t="shared" si="1"/>
        <v>11.310073972571445</v>
      </c>
      <c r="F19" s="11"/>
      <c r="G19" s="11">
        <f>G13-G14-G15-G16-G17-G18</f>
        <v>2726113.7482499997</v>
      </c>
      <c r="H19" s="11">
        <f>H13-H14-H15-H16-H17-H18</f>
        <v>2263644.2547100005</v>
      </c>
      <c r="I19" s="11">
        <f t="shared" si="2"/>
        <v>462469.49353999924</v>
      </c>
      <c r="J19" s="11">
        <f t="shared" si="3"/>
        <v>20.430308012300593</v>
      </c>
      <c r="K19" s="11"/>
      <c r="L19" s="11">
        <f>L13-L14-L15-L16-L17-L18</f>
        <v>966628.93970999995</v>
      </c>
      <c r="M19" s="11">
        <f>M13-M14-M15-M16-M17-M18</f>
        <v>731897.64557000005</v>
      </c>
      <c r="N19" s="11">
        <f t="shared" si="4"/>
        <v>234731.2941399999</v>
      </c>
      <c r="O19" s="11">
        <f t="shared" si="5"/>
        <v>32.071601208279851</v>
      </c>
      <c r="P19" s="11"/>
      <c r="Q19" s="10">
        <f>Q13-Q14-Q15-Q16-Q18-Q17</f>
        <v>7087898.4772500005</v>
      </c>
      <c r="R19" s="10">
        <f>R13-R14-R15-R16-R18-R17</f>
        <v>6045720.2607100001</v>
      </c>
      <c r="S19" s="11">
        <f t="shared" si="7"/>
        <v>1042178.2165400004</v>
      </c>
      <c r="T19" s="11">
        <f t="shared" si="8"/>
        <v>17.238280495922393</v>
      </c>
    </row>
    <row r="20" spans="1:34" s="12" customFormat="1" ht="15" customHeight="1" x14ac:dyDescent="0.25">
      <c r="A20" s="9" t="s">
        <v>18</v>
      </c>
      <c r="B20" s="11">
        <v>230935.58111999999</v>
      </c>
      <c r="C20" s="11">
        <v>165316.97999999998</v>
      </c>
      <c r="D20" s="11">
        <f t="shared" si="0"/>
        <v>65618.601120000007</v>
      </c>
      <c r="E20" s="11">
        <f t="shared" si="1"/>
        <v>39.692596078152413</v>
      </c>
      <c r="F20" s="11"/>
      <c r="G20" s="11">
        <v>30025.267980000001</v>
      </c>
      <c r="H20" s="11">
        <v>24489.42</v>
      </c>
      <c r="I20" s="11">
        <f t="shared" si="2"/>
        <v>5535.8479800000023</v>
      </c>
      <c r="J20" s="11">
        <f t="shared" si="3"/>
        <v>22.605059572664452</v>
      </c>
      <c r="K20" s="11"/>
      <c r="L20" s="10">
        <v>24901.734369999998</v>
      </c>
      <c r="M20" s="10">
        <v>24585.919999999998</v>
      </c>
      <c r="N20" s="11">
        <f t="shared" si="4"/>
        <v>315.81437000000005</v>
      </c>
      <c r="O20" s="11">
        <f t="shared" si="5"/>
        <v>1.2845334646822248</v>
      </c>
      <c r="P20" s="11"/>
      <c r="Q20" s="10">
        <f t="shared" si="6"/>
        <v>285862.58347000001</v>
      </c>
      <c r="R20" s="11">
        <f t="shared" si="6"/>
        <v>214392.31999999995</v>
      </c>
      <c r="S20" s="11">
        <f t="shared" si="7"/>
        <v>71470.263470000064</v>
      </c>
      <c r="T20" s="11">
        <f t="shared" si="8"/>
        <v>33.336205079547668</v>
      </c>
    </row>
    <row r="21" spans="1:34" s="12" customFormat="1" ht="15" customHeight="1" x14ac:dyDescent="0.25">
      <c r="A21" s="9" t="s">
        <v>19</v>
      </c>
      <c r="B21" s="11">
        <f>B19+B20</f>
        <v>3626091.37041</v>
      </c>
      <c r="C21" s="11">
        <f>C19+C20</f>
        <v>3215495.3404300003</v>
      </c>
      <c r="D21" s="11">
        <f t="shared" si="0"/>
        <v>410596.02997999964</v>
      </c>
      <c r="E21" s="11">
        <f t="shared" si="1"/>
        <v>12.769293266184354</v>
      </c>
      <c r="F21" s="11"/>
      <c r="G21" s="11">
        <f>G19+G20</f>
        <v>2756139.0162299997</v>
      </c>
      <c r="H21" s="11">
        <f>H19+H20</f>
        <v>2288133.6747100004</v>
      </c>
      <c r="I21" s="11">
        <f t="shared" si="2"/>
        <v>468005.34151999932</v>
      </c>
      <c r="J21" s="11">
        <f t="shared" si="3"/>
        <v>20.453583927054204</v>
      </c>
      <c r="K21" s="11"/>
      <c r="L21" s="11">
        <f>L19+L20</f>
        <v>991530.67407999991</v>
      </c>
      <c r="M21" s="11">
        <f>M19+M20</f>
        <v>756483.56557000009</v>
      </c>
      <c r="N21" s="11">
        <f t="shared" si="4"/>
        <v>235047.10850999982</v>
      </c>
      <c r="O21" s="11">
        <f t="shared" si="5"/>
        <v>31.071013199459923</v>
      </c>
      <c r="P21" s="11"/>
      <c r="Q21" s="10">
        <f>Q19+Q20</f>
        <v>7373761.0607200004</v>
      </c>
      <c r="R21" s="11">
        <f>R19+R20</f>
        <v>6260112.5807100004</v>
      </c>
      <c r="S21" s="11">
        <f t="shared" si="7"/>
        <v>1113648.4800100001</v>
      </c>
      <c r="T21" s="11">
        <f t="shared" si="8"/>
        <v>17.789591890753087</v>
      </c>
    </row>
    <row r="22" spans="1:34" s="12" customFormat="1" ht="15" customHeight="1" x14ac:dyDescent="0.25">
      <c r="A22" s="9" t="s">
        <v>20</v>
      </c>
      <c r="B22" s="11">
        <v>3281895.5072699999</v>
      </c>
      <c r="C22" s="11">
        <v>3082400.75</v>
      </c>
      <c r="D22" s="11">
        <f t="shared" si="0"/>
        <v>199494.75726999994</v>
      </c>
      <c r="E22" s="11">
        <f t="shared" si="1"/>
        <v>6.4720577708787532</v>
      </c>
      <c r="F22" s="11"/>
      <c r="G22" s="11">
        <v>2402418.0175000001</v>
      </c>
      <c r="H22" s="11">
        <v>2039911.4</v>
      </c>
      <c r="I22" s="11">
        <f t="shared" si="2"/>
        <v>362506.61750000017</v>
      </c>
      <c r="J22" s="11">
        <f t="shared" si="3"/>
        <v>17.77070403645963</v>
      </c>
      <c r="K22" s="11"/>
      <c r="L22" s="10">
        <v>902076.93501999998</v>
      </c>
      <c r="M22" s="10">
        <v>710745.17</v>
      </c>
      <c r="N22" s="11">
        <f t="shared" si="4"/>
        <v>191331.76501999993</v>
      </c>
      <c r="O22" s="11">
        <f t="shared" si="5"/>
        <v>26.919882553686563</v>
      </c>
      <c r="P22" s="11"/>
      <c r="Q22" s="10">
        <f t="shared" si="6"/>
        <v>6586390.4597899998</v>
      </c>
      <c r="R22" s="11">
        <f t="shared" si="6"/>
        <v>5833057.3200000003</v>
      </c>
      <c r="S22" s="11">
        <f t="shared" si="7"/>
        <v>753333.13978999946</v>
      </c>
      <c r="T22" s="11">
        <f t="shared" si="8"/>
        <v>12.914893484880061</v>
      </c>
    </row>
    <row r="23" spans="1:34" ht="15" customHeight="1" x14ac:dyDescent="0.25">
      <c r="A23" s="15" t="s">
        <v>21</v>
      </c>
      <c r="B23" s="16">
        <f>ROUND((B22/B21*100),0)</f>
        <v>91</v>
      </c>
      <c r="C23" s="16">
        <f>ROUND((C22/C21*100),0)</f>
        <v>96</v>
      </c>
      <c r="D23" s="17"/>
      <c r="E23" s="11">
        <f>B23-C23</f>
        <v>-5</v>
      </c>
      <c r="F23" s="16"/>
      <c r="G23" s="16">
        <f>ROUND((G22/G21*100),0)</f>
        <v>87</v>
      </c>
      <c r="H23" s="16">
        <f>ROUND((H22/H21*100),0)</f>
        <v>89</v>
      </c>
      <c r="I23" s="17"/>
      <c r="J23" s="11">
        <f>G23-H23</f>
        <v>-2</v>
      </c>
      <c r="K23" s="16"/>
      <c r="L23" s="16">
        <f>ROUND((L22/L21*100),0)</f>
        <v>91</v>
      </c>
      <c r="M23" s="16">
        <f>ROUND((M22/M21*100),0)</f>
        <v>94</v>
      </c>
      <c r="N23" s="17"/>
      <c r="O23" s="11">
        <f>L23-M23</f>
        <v>-3</v>
      </c>
      <c r="P23" s="16"/>
      <c r="Q23" s="17">
        <f>ROUND((Q22/Q21*100),0)</f>
        <v>89</v>
      </c>
      <c r="R23" s="16">
        <f>ROUND((R22/R21*100),0)</f>
        <v>93</v>
      </c>
      <c r="S23" s="17"/>
      <c r="T23" s="11">
        <f>Q23-R23</f>
        <v>-4</v>
      </c>
      <c r="V23" s="18"/>
      <c r="X23" s="18"/>
      <c r="Z23" s="18"/>
      <c r="AA23" s="18"/>
      <c r="AC23" s="18"/>
      <c r="AE23" s="18"/>
      <c r="AF23" s="18"/>
      <c r="AH23" s="18"/>
    </row>
    <row r="24" spans="1:34" s="12" customFormat="1" ht="15" customHeight="1" x14ac:dyDescent="0.25">
      <c r="A24" s="9" t="s">
        <v>22</v>
      </c>
      <c r="B24" s="11">
        <v>279645.90217999998</v>
      </c>
      <c r="C24" s="11">
        <v>267788.34999999998</v>
      </c>
      <c r="D24" s="11">
        <f>B24-C24</f>
        <v>11857.552179999999</v>
      </c>
      <c r="E24" s="11">
        <f>D24/C24*100</f>
        <v>4.4279566978921974</v>
      </c>
      <c r="F24" s="11"/>
      <c r="G24" s="11">
        <v>237384.16139000002</v>
      </c>
      <c r="H24" s="11">
        <v>235864.72</v>
      </c>
      <c r="I24" s="11">
        <f>G24-H24</f>
        <v>1519.4413900000218</v>
      </c>
      <c r="J24" s="11">
        <f>I24/H24*100</f>
        <v>0.64420036620992827</v>
      </c>
      <c r="K24" s="11"/>
      <c r="L24" s="10">
        <v>73185.047980000003</v>
      </c>
      <c r="M24" s="10">
        <v>78292.87</v>
      </c>
      <c r="N24" s="11">
        <f>L24-M24</f>
        <v>-5107.8220199999923</v>
      </c>
      <c r="O24" s="11">
        <f>N24/M24*100</f>
        <v>-6.5239938451611152</v>
      </c>
      <c r="P24" s="11"/>
      <c r="Q24" s="10">
        <f t="shared" si="6"/>
        <v>590215.11155000003</v>
      </c>
      <c r="R24" s="11">
        <f t="shared" si="6"/>
        <v>581945.93999999994</v>
      </c>
      <c r="S24" s="11">
        <f>Q24-R24</f>
        <v>8269.1715500000864</v>
      </c>
      <c r="T24" s="11">
        <f>S24/R24*100</f>
        <v>1.4209518413342805</v>
      </c>
    </row>
    <row r="25" spans="1:34" ht="15" customHeight="1" x14ac:dyDescent="0.25">
      <c r="A25" s="15" t="s">
        <v>21</v>
      </c>
      <c r="B25" s="16">
        <f>ROUND((B24/B21*100),0)</f>
        <v>8</v>
      </c>
      <c r="C25" s="16">
        <f>ROUND((C24/C21*100),0)</f>
        <v>8</v>
      </c>
      <c r="D25" s="17"/>
      <c r="E25" s="11">
        <f>B25-C25</f>
        <v>0</v>
      </c>
      <c r="F25" s="16"/>
      <c r="G25" s="16">
        <f>ROUND((G24/G21*100),0)</f>
        <v>9</v>
      </c>
      <c r="H25" s="16">
        <f>ROUND((H24/H21*100),0)</f>
        <v>10</v>
      </c>
      <c r="I25" s="17"/>
      <c r="J25" s="11">
        <f>G25-H25</f>
        <v>-1</v>
      </c>
      <c r="K25" s="16"/>
      <c r="L25" s="16">
        <f>ROUND((L24/L21*100),0)</f>
        <v>7</v>
      </c>
      <c r="M25" s="16">
        <f>ROUND((M24/M21*100),0)</f>
        <v>10</v>
      </c>
      <c r="N25" s="17"/>
      <c r="O25" s="11">
        <f>L25-M25</f>
        <v>-3</v>
      </c>
      <c r="P25" s="16"/>
      <c r="Q25" s="17">
        <f>ROUND((Q24/Q21*100),0)</f>
        <v>8</v>
      </c>
      <c r="R25" s="16">
        <f>ROUND((R24/R21*100),0)</f>
        <v>9</v>
      </c>
      <c r="S25" s="17"/>
      <c r="T25" s="11">
        <f>Q25-R25</f>
        <v>-1</v>
      </c>
      <c r="V25" s="18"/>
      <c r="X25" s="18"/>
      <c r="Z25" s="18"/>
      <c r="AA25" s="18"/>
      <c r="AC25" s="18"/>
      <c r="AE25" s="18"/>
      <c r="AF25" s="18"/>
      <c r="AH25" s="18"/>
    </row>
    <row r="26" spans="1:34" s="12" customFormat="1" ht="15" customHeight="1" x14ac:dyDescent="0.25">
      <c r="A26" s="9" t="s">
        <v>23</v>
      </c>
      <c r="B26" s="11">
        <f>B21-B22-B24</f>
        <v>64549.960960000055</v>
      </c>
      <c r="C26" s="11">
        <f>C21-C22-C24</f>
        <v>-134693.75956999965</v>
      </c>
      <c r="D26" s="11">
        <f>B26-C26</f>
        <v>199243.7205299997</v>
      </c>
      <c r="E26" s="11">
        <f>D26/C26*100</f>
        <v>-147.92349784137829</v>
      </c>
      <c r="F26" s="11"/>
      <c r="G26" s="11">
        <f>G21-G22-G24</f>
        <v>116336.83733999962</v>
      </c>
      <c r="H26" s="11">
        <f>H21-H22-H24</f>
        <v>12357.554710000491</v>
      </c>
      <c r="I26" s="11">
        <f>G26-H26</f>
        <v>103979.28262999913</v>
      </c>
      <c r="J26" s="11">
        <f>I26/H26*100</f>
        <v>841.42279820013835</v>
      </c>
      <c r="K26" s="11"/>
      <c r="L26" s="11">
        <f>L21-L22-L24</f>
        <v>16268.691079999931</v>
      </c>
      <c r="M26" s="11">
        <f>M21-M22-M24</f>
        <v>-32554.474429999944</v>
      </c>
      <c r="N26" s="11">
        <f>L26-M26</f>
        <v>48823.165509999875</v>
      </c>
      <c r="O26" s="11">
        <f>N26/M26*100</f>
        <v>-149.97374820159231</v>
      </c>
      <c r="P26" s="11"/>
      <c r="Q26" s="10">
        <f>Q21-Q22-Q24</f>
        <v>197155.48938000062</v>
      </c>
      <c r="R26" s="10">
        <f>R21-R22-R24</f>
        <v>-154890.67928999988</v>
      </c>
      <c r="S26" s="11">
        <f>Q26-R26</f>
        <v>352046.16867000051</v>
      </c>
      <c r="T26" s="11">
        <f>S26/R26*100</f>
        <v>-227.28686469950131</v>
      </c>
    </row>
    <row r="27" spans="1:34" s="12" customFormat="1" ht="15" customHeight="1" x14ac:dyDescent="0.25">
      <c r="A27" s="9" t="s">
        <v>24</v>
      </c>
      <c r="B27" s="11">
        <v>60038.292549999998</v>
      </c>
      <c r="C27" s="11">
        <v>51381.4</v>
      </c>
      <c r="D27" s="11">
        <f>B27-C27</f>
        <v>8656.8925499999968</v>
      </c>
      <c r="E27" s="11">
        <f>D27/C27*100</f>
        <v>16.848300260405509</v>
      </c>
      <c r="F27" s="11"/>
      <c r="G27" s="11">
        <v>20344.215669999998</v>
      </c>
      <c r="H27" s="11">
        <v>15291.21</v>
      </c>
      <c r="I27" s="11">
        <f>G27-H27</f>
        <v>5053.0056699999986</v>
      </c>
      <c r="J27" s="11">
        <f>I27/H27*100</f>
        <v>33.045165621294842</v>
      </c>
      <c r="K27" s="11"/>
      <c r="L27" s="10">
        <v>16535.44183</v>
      </c>
      <c r="M27" s="10">
        <v>15390.51</v>
      </c>
      <c r="N27" s="11">
        <f>L27-M27</f>
        <v>1144.9318299999995</v>
      </c>
      <c r="O27" s="11">
        <f>N27/M27*100</f>
        <v>7.4392065630053805</v>
      </c>
      <c r="P27" s="11"/>
      <c r="Q27" s="10">
        <f>B27+G27+L27</f>
        <v>96917.950049999985</v>
      </c>
      <c r="R27" s="11">
        <f>C27+H27+M27</f>
        <v>82063.12</v>
      </c>
      <c r="S27" s="11">
        <f>Q27-R27</f>
        <v>14854.83004999999</v>
      </c>
      <c r="T27" s="11">
        <f>S27/R27*100</f>
        <v>18.101712498866714</v>
      </c>
    </row>
    <row r="28" spans="1:34" s="12" customFormat="1" ht="15" customHeight="1" x14ac:dyDescent="0.25">
      <c r="A28" s="9" t="s">
        <v>25</v>
      </c>
      <c r="B28" s="11">
        <v>60690.884550000002</v>
      </c>
      <c r="C28" s="11">
        <v>94127.48</v>
      </c>
      <c r="D28" s="11">
        <f>B28-C28</f>
        <v>-33436.595449999993</v>
      </c>
      <c r="E28" s="11">
        <f>D28/C28*100</f>
        <v>-35.52267143452687</v>
      </c>
      <c r="F28" s="11"/>
      <c r="G28" s="11">
        <v>38047.313869999998</v>
      </c>
      <c r="H28" s="11">
        <v>23531.11</v>
      </c>
      <c r="I28" s="11">
        <f>G28-H28</f>
        <v>14516.203869999998</v>
      </c>
      <c r="J28" s="11">
        <f>I28/H28*100</f>
        <v>61.689414014043521</v>
      </c>
      <c r="K28" s="11"/>
      <c r="L28" s="10">
        <v>6993.8860000000004</v>
      </c>
      <c r="M28" s="10">
        <v>6511.57</v>
      </c>
      <c r="N28" s="11">
        <f>L28-M28</f>
        <v>482.31600000000071</v>
      </c>
      <c r="O28" s="11">
        <f>N28/M28*100</f>
        <v>7.4070615842262422</v>
      </c>
      <c r="P28" s="11"/>
      <c r="Q28" s="10">
        <f>B28+G28+L28</f>
        <v>105732.08442</v>
      </c>
      <c r="R28" s="11">
        <f>C28+H28+M28</f>
        <v>124170.16</v>
      </c>
      <c r="S28" s="11">
        <f>Q28-R28</f>
        <v>-18438.075580000004</v>
      </c>
      <c r="T28" s="11">
        <f>S28/R28*100</f>
        <v>-14.849039076699269</v>
      </c>
    </row>
    <row r="29" spans="1:34" s="12" customFormat="1" ht="15" customHeight="1" x14ac:dyDescent="0.25">
      <c r="A29" s="9" t="s">
        <v>26</v>
      </c>
      <c r="B29" s="11">
        <f>B26-B27-B28</f>
        <v>-56179.216139999946</v>
      </c>
      <c r="C29" s="11">
        <f>C26-C27-C28</f>
        <v>-280202.63956999965</v>
      </c>
      <c r="D29" s="11">
        <f>B29-C29</f>
        <v>224023.4234299997</v>
      </c>
      <c r="E29" s="11">
        <f>D29/C29*100</f>
        <v>-79.950504311375198</v>
      </c>
      <c r="F29" s="11"/>
      <c r="G29" s="11">
        <f>G26-G27-G28</f>
        <v>57945.307799999617</v>
      </c>
      <c r="H29" s="11">
        <f>H26-H27-H28</f>
        <v>-26464.765289999508</v>
      </c>
      <c r="I29" s="11">
        <f>G29-H29</f>
        <v>84410.073089999118</v>
      </c>
      <c r="J29" s="11">
        <f>I29/H29*100</f>
        <v>-318.95266088717574</v>
      </c>
      <c r="K29" s="11"/>
      <c r="L29" s="11">
        <f>L26-L27-L28</f>
        <v>-7260.6367500000688</v>
      </c>
      <c r="M29" s="11">
        <f>M26-M27-M28</f>
        <v>-54456.554429999946</v>
      </c>
      <c r="N29" s="11">
        <f>L29-M29</f>
        <v>47195.917679999875</v>
      </c>
      <c r="O29" s="11">
        <f>N29/M29*100</f>
        <v>-86.667102195506857</v>
      </c>
      <c r="P29" s="11"/>
      <c r="Q29" s="10">
        <f>Q26-Q27-Q28</f>
        <v>-5494.5450899993593</v>
      </c>
      <c r="R29" s="10">
        <f>R26-R27-R28</f>
        <v>-361123.95928999991</v>
      </c>
      <c r="S29" s="11">
        <f>Q29-R29</f>
        <v>355629.41420000058</v>
      </c>
      <c r="T29" s="11">
        <f>S29/R29*100</f>
        <v>-98.478487802138062</v>
      </c>
    </row>
    <row r="30" spans="1:34" ht="15" customHeight="1" x14ac:dyDescent="0.25">
      <c r="A30" s="15" t="s">
        <v>21</v>
      </c>
      <c r="B30" s="16">
        <f>ROUND((B29/B21*100),0)</f>
        <v>-2</v>
      </c>
      <c r="C30" s="16">
        <f>ROUND((C29/C21*100),0)</f>
        <v>-9</v>
      </c>
      <c r="D30" s="17"/>
      <c r="E30" s="11">
        <f>B30-C30</f>
        <v>7</v>
      </c>
      <c r="F30" s="16"/>
      <c r="G30" s="16">
        <f>ROUND((G29/G21*100),0)</f>
        <v>2</v>
      </c>
      <c r="H30" s="16">
        <f>ROUND((H29/H21*100),0)</f>
        <v>-1</v>
      </c>
      <c r="I30" s="17"/>
      <c r="J30" s="11">
        <v>0</v>
      </c>
      <c r="K30" s="16"/>
      <c r="L30" s="16">
        <f>ROUND((L29/L21*100),0)</f>
        <v>-1</v>
      </c>
      <c r="M30" s="16">
        <f>ROUND((M29/M21*100),0)</f>
        <v>-7</v>
      </c>
      <c r="N30" s="17"/>
      <c r="O30" s="11">
        <f>L30-M30</f>
        <v>6</v>
      </c>
      <c r="P30" s="16"/>
      <c r="Q30" s="17">
        <f>ROUND((Q29/Q21*100),0)</f>
        <v>0</v>
      </c>
      <c r="R30" s="16">
        <f>ROUND((R29/R21*100),0)</f>
        <v>-6</v>
      </c>
      <c r="S30" s="17"/>
      <c r="T30" s="11">
        <f>Q30-R30</f>
        <v>6</v>
      </c>
    </row>
    <row r="31" spans="1:34" s="12" customFormat="1" ht="15" customHeight="1" x14ac:dyDescent="0.25">
      <c r="A31" s="9" t="s">
        <v>27</v>
      </c>
      <c r="B31" s="11">
        <v>366.62337000000002</v>
      </c>
      <c r="C31" s="11">
        <v>1234.18</v>
      </c>
      <c r="D31" s="11">
        <f>B31-C31</f>
        <v>-867.55663000000004</v>
      </c>
      <c r="E31" s="11">
        <f>D31/C31*100</f>
        <v>-70.294173459300907</v>
      </c>
      <c r="F31" s="11"/>
      <c r="G31" s="11">
        <v>0</v>
      </c>
      <c r="H31" s="11">
        <v>0</v>
      </c>
      <c r="I31" s="11">
        <f>G31-H31</f>
        <v>0</v>
      </c>
      <c r="J31" s="11"/>
      <c r="K31" s="11"/>
      <c r="L31" s="10">
        <v>1143.48306</v>
      </c>
      <c r="M31" s="10">
        <v>444.82</v>
      </c>
      <c r="N31" s="11">
        <f>L31-M31</f>
        <v>698.66306000000009</v>
      </c>
      <c r="O31" s="11">
        <f>N31/M31*100</f>
        <v>157.06646733510186</v>
      </c>
      <c r="P31" s="11"/>
      <c r="Q31" s="10">
        <f>B31+G31+L31</f>
        <v>1510.10643</v>
      </c>
      <c r="R31" s="11">
        <f>C31+H31+M31</f>
        <v>1679</v>
      </c>
      <c r="S31" s="11">
        <f>Q31-R31</f>
        <v>-168.89356999999995</v>
      </c>
      <c r="T31" s="11">
        <f>S31/R31*100</f>
        <v>-10.059176295413934</v>
      </c>
    </row>
    <row r="32" spans="1:34" s="12" customFormat="1" ht="15" customHeight="1" x14ac:dyDescent="0.25">
      <c r="A32" s="9" t="s">
        <v>28</v>
      </c>
      <c r="B32" s="11">
        <f>B29-B31</f>
        <v>-56545.839509999947</v>
      </c>
      <c r="C32" s="11">
        <f>C29-C31</f>
        <v>-281436.81956999964</v>
      </c>
      <c r="D32" s="11">
        <f>B32-C32</f>
        <v>224890.98005999968</v>
      </c>
      <c r="E32" s="11">
        <f>D32/C32*100</f>
        <v>-79.908158571293214</v>
      </c>
      <c r="F32" s="11"/>
      <c r="G32" s="11">
        <f>G29-G31</f>
        <v>57945.307799999617</v>
      </c>
      <c r="H32" s="11">
        <f>H29-H31</f>
        <v>-26464.765289999508</v>
      </c>
      <c r="I32" s="11">
        <f>G32-H32</f>
        <v>84410.073089999118</v>
      </c>
      <c r="J32" s="11">
        <f>I32/H32*100</f>
        <v>-318.95266088717574</v>
      </c>
      <c r="K32" s="11"/>
      <c r="L32" s="11">
        <f>L29-L31</f>
        <v>-8404.1198100000693</v>
      </c>
      <c r="M32" s="11">
        <f>M29-M31</f>
        <v>-54901.374429999945</v>
      </c>
      <c r="N32" s="11">
        <f>L32-M32</f>
        <v>46497.254619999876</v>
      </c>
      <c r="O32" s="11">
        <f>N32/M32*100</f>
        <v>-84.692332574086208</v>
      </c>
      <c r="P32" s="11"/>
      <c r="Q32" s="10">
        <f>Q26-Q27-Q28-Q31</f>
        <v>-7004.6515199993592</v>
      </c>
      <c r="R32" s="11">
        <f>R26-R27-R28-R31</f>
        <v>-362802.95928999991</v>
      </c>
      <c r="S32" s="11">
        <f>Q32-R32</f>
        <v>355798.30777000054</v>
      </c>
      <c r="T32" s="11">
        <f>S32/R32*100</f>
        <v>-98.069295924788662</v>
      </c>
    </row>
    <row r="33" spans="1:40" ht="15" customHeight="1" x14ac:dyDescent="0.25">
      <c r="A33" s="15" t="s">
        <v>21</v>
      </c>
      <c r="B33" s="16">
        <f>ROUND((B32/B21*100),0)</f>
        <v>-2</v>
      </c>
      <c r="C33" s="16">
        <f>ROUND((C32/C21*100),0)</f>
        <v>-9</v>
      </c>
      <c r="D33" s="17"/>
      <c r="E33" s="11">
        <f>B33-C33</f>
        <v>7</v>
      </c>
      <c r="F33" s="16"/>
      <c r="G33" s="16">
        <f>ROUND((G32/G21*100),0)</f>
        <v>2</v>
      </c>
      <c r="H33" s="16">
        <f>ROUND((H32/H21*100),0)</f>
        <v>-1</v>
      </c>
      <c r="I33" s="17"/>
      <c r="J33" s="11">
        <v>0</v>
      </c>
      <c r="K33" s="16"/>
      <c r="L33" s="16">
        <f>ROUND((L32/L21*100),0)</f>
        <v>-1</v>
      </c>
      <c r="M33" s="16">
        <f>ROUND((M32/M21*100),0)</f>
        <v>-7</v>
      </c>
      <c r="N33" s="17"/>
      <c r="O33" s="11">
        <f>L33-M33</f>
        <v>6</v>
      </c>
      <c r="P33" s="16"/>
      <c r="Q33" s="17">
        <f>ROUND((Q32/Q21*100),0)</f>
        <v>0</v>
      </c>
      <c r="R33" s="16">
        <f>ROUND((R32/R21*100),0)</f>
        <v>-6</v>
      </c>
      <c r="S33" s="17"/>
      <c r="T33" s="11">
        <f>Q33-R33</f>
        <v>6</v>
      </c>
      <c r="V33" s="18"/>
      <c r="X33" s="18"/>
      <c r="Z33" s="18"/>
      <c r="AA33" s="18"/>
      <c r="AC33" s="18"/>
      <c r="AE33" s="18"/>
      <c r="AF33" s="18"/>
      <c r="AH33" s="18"/>
    </row>
    <row r="34" spans="1:40" ht="15.75" customHeight="1" x14ac:dyDescent="0.25">
      <c r="B34" s="17"/>
      <c r="C34" s="17"/>
      <c r="D34" s="17"/>
      <c r="E34" s="11"/>
      <c r="F34" s="16"/>
      <c r="G34" s="17"/>
      <c r="H34" s="17"/>
      <c r="I34" s="17"/>
      <c r="J34" s="11"/>
      <c r="K34" s="16"/>
      <c r="L34" s="17"/>
      <c r="M34" s="17"/>
      <c r="N34" s="16"/>
      <c r="O34" s="11"/>
      <c r="P34" s="16"/>
      <c r="Q34" s="17"/>
      <c r="R34" s="17"/>
      <c r="S34" s="17"/>
      <c r="T34" s="11"/>
    </row>
    <row r="35" spans="1:40" ht="15.6" x14ac:dyDescent="0.3">
      <c r="A35" s="1" t="s">
        <v>29</v>
      </c>
      <c r="B35" s="17"/>
      <c r="C35" s="17"/>
      <c r="D35" s="17"/>
      <c r="E35" s="11"/>
      <c r="F35" s="16"/>
      <c r="G35" s="17"/>
      <c r="H35" s="17"/>
      <c r="I35" s="17"/>
      <c r="J35" s="11"/>
      <c r="K35" s="16"/>
      <c r="L35" s="17"/>
      <c r="M35" s="17"/>
      <c r="N35" s="16"/>
      <c r="O35" s="11"/>
      <c r="P35" s="16"/>
      <c r="Q35" s="17"/>
      <c r="R35" s="17"/>
      <c r="S35" s="17"/>
      <c r="T35" s="11"/>
    </row>
    <row r="36" spans="1:40" ht="9.9" customHeight="1" x14ac:dyDescent="0.25">
      <c r="B36" s="17"/>
      <c r="C36" s="17"/>
      <c r="D36" s="17"/>
      <c r="E36" s="11"/>
      <c r="F36" s="16"/>
      <c r="G36" s="17"/>
      <c r="H36" s="17"/>
      <c r="I36" s="17"/>
      <c r="J36" s="11"/>
      <c r="K36" s="16"/>
      <c r="L36" s="17"/>
      <c r="M36" s="17"/>
      <c r="N36" s="16"/>
      <c r="O36" s="11"/>
      <c r="P36" s="16"/>
      <c r="Q36" s="17"/>
      <c r="R36" s="17"/>
      <c r="S36" s="17"/>
      <c r="T36" s="11"/>
    </row>
    <row r="37" spans="1:40" s="12" customFormat="1" ht="15" customHeight="1" x14ac:dyDescent="0.25">
      <c r="A37" s="9" t="s">
        <v>30</v>
      </c>
      <c r="B37" s="10">
        <v>446663.67999999999</v>
      </c>
      <c r="C37" s="10">
        <v>452942.47032999998</v>
      </c>
      <c r="D37" s="11">
        <f>B37-C37</f>
        <v>-6278.7903299999889</v>
      </c>
      <c r="E37" s="11">
        <f>D37/C37*100</f>
        <v>-1.3862224766481834</v>
      </c>
      <c r="F37" s="11"/>
      <c r="G37" s="10">
        <v>273862.83</v>
      </c>
      <c r="H37" s="10">
        <v>150838.68208</v>
      </c>
      <c r="I37" s="11">
        <f>G37-H37</f>
        <v>123024.14792000002</v>
      </c>
      <c r="J37" s="11">
        <f>I37/H37*100</f>
        <v>81.56007876994839</v>
      </c>
      <c r="K37" s="11"/>
      <c r="L37" s="10">
        <v>31900.43</v>
      </c>
      <c r="M37" s="10">
        <v>42955.682670000002</v>
      </c>
      <c r="N37" s="11">
        <f>L37-M37</f>
        <v>-11055.252670000002</v>
      </c>
      <c r="O37" s="11">
        <f>N37/M37*100</f>
        <v>-25.7364147950579</v>
      </c>
      <c r="P37" s="11"/>
      <c r="Q37" s="10">
        <f t="shared" ref="Q37:R39" si="9">B37+G37+L37</f>
        <v>752426.94000000006</v>
      </c>
      <c r="R37" s="10">
        <f t="shared" si="9"/>
        <v>646736.83507999999</v>
      </c>
      <c r="S37" s="10">
        <f>Q37-R37</f>
        <v>105690.10492000007</v>
      </c>
      <c r="T37" s="11">
        <f>S37/R37*100</f>
        <v>16.342057416124508</v>
      </c>
    </row>
    <row r="38" spans="1:40" s="12" customFormat="1" ht="15" customHeight="1" x14ac:dyDescent="0.25">
      <c r="A38" s="9" t="s">
        <v>31</v>
      </c>
      <c r="B38" s="10">
        <v>89.15</v>
      </c>
      <c r="C38" s="10">
        <v>89.13006</v>
      </c>
      <c r="D38" s="11">
        <f>B38-C38</f>
        <v>1.9940000000005398E-2</v>
      </c>
      <c r="E38" s="11">
        <f>D38/C38*100</f>
        <v>2.2371801387775794E-2</v>
      </c>
      <c r="F38" s="11"/>
      <c r="G38" s="10">
        <v>0</v>
      </c>
      <c r="H38" s="10">
        <v>0</v>
      </c>
      <c r="I38" s="11">
        <f>G38-H38</f>
        <v>0</v>
      </c>
      <c r="J38" s="11"/>
      <c r="K38" s="11"/>
      <c r="L38" s="10">
        <v>0</v>
      </c>
      <c r="M38" s="10">
        <v>0</v>
      </c>
      <c r="N38" s="11">
        <f>L38-M38</f>
        <v>0</v>
      </c>
      <c r="O38" s="11"/>
      <c r="P38" s="11"/>
      <c r="Q38" s="10">
        <f t="shared" si="9"/>
        <v>89.15</v>
      </c>
      <c r="R38" s="10">
        <f t="shared" si="9"/>
        <v>89.13006</v>
      </c>
      <c r="S38" s="10">
        <f>Q38-R38</f>
        <v>1.9940000000005398E-2</v>
      </c>
      <c r="T38" s="11">
        <f>S38/R38*100</f>
        <v>2.2371801387775794E-2</v>
      </c>
    </row>
    <row r="39" spans="1:40" s="12" customFormat="1" ht="15" customHeight="1" x14ac:dyDescent="0.25">
      <c r="A39" s="9" t="s">
        <v>32</v>
      </c>
      <c r="B39" s="10">
        <v>576.26</v>
      </c>
      <c r="C39" s="10">
        <v>2565.59566</v>
      </c>
      <c r="D39" s="11">
        <f>B39-C39</f>
        <v>-1989.33566</v>
      </c>
      <c r="E39" s="11">
        <f>D39/C39*100</f>
        <v>-77.538939241891285</v>
      </c>
      <c r="F39" s="11"/>
      <c r="G39" s="10">
        <v>52006.95</v>
      </c>
      <c r="H39" s="10">
        <v>35891.86722</v>
      </c>
      <c r="I39" s="11">
        <f>G39-H39</f>
        <v>16115.082779999997</v>
      </c>
      <c r="J39" s="11"/>
      <c r="K39" s="11"/>
      <c r="L39" s="10">
        <v>17814.45</v>
      </c>
      <c r="M39" s="10">
        <v>2662.0938700000002</v>
      </c>
      <c r="N39" s="11">
        <f>L39-M39</f>
        <v>15152.35613</v>
      </c>
      <c r="O39" s="11">
        <f>N39/M39*100</f>
        <v>569.18940014688508</v>
      </c>
      <c r="P39" s="11"/>
      <c r="Q39" s="10">
        <f t="shared" si="9"/>
        <v>70397.66</v>
      </c>
      <c r="R39" s="10">
        <f t="shared" si="9"/>
        <v>41119.556749999996</v>
      </c>
      <c r="S39" s="10">
        <f>Q39-R39</f>
        <v>29278.103250000007</v>
      </c>
      <c r="T39" s="11">
        <f>S39/R39*100</f>
        <v>71.2023804828587</v>
      </c>
    </row>
    <row r="40" spans="1:40" ht="15" customHeight="1" x14ac:dyDescent="0.25">
      <c r="A40" s="15" t="s">
        <v>33</v>
      </c>
      <c r="B40" s="17"/>
      <c r="C40" s="17"/>
      <c r="D40" s="17"/>
      <c r="E40" s="11"/>
      <c r="F40" s="16"/>
      <c r="G40" s="17"/>
      <c r="H40" s="17"/>
      <c r="I40" s="17"/>
      <c r="J40" s="11"/>
      <c r="K40" s="16"/>
      <c r="L40" s="17"/>
      <c r="M40" s="17"/>
      <c r="N40" s="16"/>
      <c r="O40" s="11"/>
      <c r="P40" s="16"/>
      <c r="Q40" s="17"/>
      <c r="R40" s="17"/>
      <c r="S40" s="17"/>
      <c r="T40" s="11"/>
    </row>
    <row r="41" spans="1:40" ht="15" hidden="1" customHeight="1" x14ac:dyDescent="0.25">
      <c r="A41" s="15" t="s">
        <v>34</v>
      </c>
      <c r="B41" s="16"/>
      <c r="C41" s="16"/>
      <c r="D41" s="16"/>
      <c r="E41" s="11"/>
      <c r="F41" s="16"/>
      <c r="G41" s="16"/>
      <c r="H41" s="16"/>
      <c r="I41" s="16"/>
      <c r="J41" s="11"/>
      <c r="K41" s="16"/>
      <c r="L41" s="16"/>
      <c r="M41" s="16"/>
      <c r="N41" s="16"/>
      <c r="O41" s="11"/>
      <c r="P41" s="16"/>
      <c r="Q41" s="16"/>
      <c r="R41" s="16"/>
      <c r="S41" s="16"/>
      <c r="T41" s="1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5" hidden="1" customHeight="1" x14ac:dyDescent="0.25">
      <c r="A42" s="15" t="s">
        <v>35</v>
      </c>
      <c r="B42" s="16"/>
      <c r="C42" s="16"/>
      <c r="D42" s="16"/>
      <c r="E42" s="11"/>
      <c r="F42" s="16"/>
      <c r="G42" s="16"/>
      <c r="H42" s="16"/>
      <c r="I42" s="16"/>
      <c r="J42" s="11"/>
      <c r="K42" s="16"/>
      <c r="L42" s="16"/>
      <c r="M42" s="16"/>
      <c r="N42" s="16"/>
      <c r="O42" s="11"/>
      <c r="P42" s="16"/>
      <c r="Q42" s="16"/>
      <c r="R42" s="16"/>
      <c r="S42" s="16"/>
      <c r="T42" s="1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5" hidden="1" customHeight="1" x14ac:dyDescent="0.25">
      <c r="A43" s="15" t="s">
        <v>36</v>
      </c>
      <c r="B43" s="16"/>
      <c r="C43" s="16"/>
      <c r="D43" s="16"/>
      <c r="E43" s="11"/>
      <c r="F43" s="16"/>
      <c r="G43" s="16"/>
      <c r="H43" s="16"/>
      <c r="I43" s="16"/>
      <c r="J43" s="11"/>
      <c r="K43" s="16"/>
      <c r="L43" s="16"/>
      <c r="M43" s="16"/>
      <c r="N43" s="16"/>
      <c r="O43" s="11"/>
      <c r="P43" s="16"/>
      <c r="Q43" s="16"/>
      <c r="R43" s="16"/>
      <c r="S43" s="16"/>
      <c r="T43" s="1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5" hidden="1" customHeight="1" x14ac:dyDescent="0.25">
      <c r="A44" s="15" t="s">
        <v>37</v>
      </c>
      <c r="B44" s="16"/>
      <c r="C44" s="16"/>
      <c r="D44" s="16"/>
      <c r="E44" s="11"/>
      <c r="F44" s="16"/>
      <c r="G44" s="16"/>
      <c r="H44" s="16"/>
      <c r="I44" s="16"/>
      <c r="J44" s="11"/>
      <c r="K44" s="16"/>
      <c r="L44" s="16"/>
      <c r="M44" s="16"/>
      <c r="N44" s="16"/>
      <c r="O44" s="11"/>
      <c r="P44" s="16"/>
      <c r="Q44" s="16"/>
      <c r="R44" s="16"/>
      <c r="S44" s="16"/>
      <c r="T44" s="11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5" hidden="1" customHeight="1" x14ac:dyDescent="0.25">
      <c r="A45" s="15" t="s">
        <v>38</v>
      </c>
      <c r="B45" s="16"/>
      <c r="C45" s="16"/>
      <c r="D45" s="16"/>
      <c r="E45" s="11"/>
      <c r="F45" s="16"/>
      <c r="G45" s="16"/>
      <c r="H45" s="16"/>
      <c r="I45" s="16"/>
      <c r="J45" s="11"/>
      <c r="K45" s="16"/>
      <c r="L45" s="16"/>
      <c r="M45" s="16"/>
      <c r="N45" s="16"/>
      <c r="O45" s="11"/>
      <c r="P45" s="16"/>
      <c r="Q45" s="16"/>
      <c r="R45" s="16"/>
      <c r="S45" s="16"/>
      <c r="T45" s="1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12" customFormat="1" ht="15" customHeight="1" x14ac:dyDescent="0.25">
      <c r="A46" s="9" t="s">
        <v>39</v>
      </c>
      <c r="B46" s="10">
        <v>4039988.21</v>
      </c>
      <c r="C46" s="10">
        <v>3982187.47181</v>
      </c>
      <c r="D46" s="11">
        <f>B46-C46</f>
        <v>57800.738189999945</v>
      </c>
      <c r="E46" s="11">
        <f>D46/C46*100</f>
        <v>1.4514820961889099</v>
      </c>
      <c r="F46" s="11"/>
      <c r="G46" s="10">
        <v>671010.07999999996</v>
      </c>
      <c r="H46" s="10">
        <v>700699.47524000006</v>
      </c>
      <c r="I46" s="11">
        <f>G46-H46</f>
        <v>-29689.3952400001</v>
      </c>
      <c r="J46" s="11">
        <f>I46/H46*100</f>
        <v>-4.2371082452760565</v>
      </c>
      <c r="K46" s="11"/>
      <c r="L46" s="10">
        <v>279548.89</v>
      </c>
      <c r="M46" s="10">
        <v>234369.99174</v>
      </c>
      <c r="N46" s="11">
        <f>L46-M46</f>
        <v>45178.898260000016</v>
      </c>
      <c r="O46" s="11">
        <f>N46/M46*100</f>
        <v>19.276741840789732</v>
      </c>
      <c r="P46" s="11"/>
      <c r="Q46" s="10">
        <f>B46+G46+L46</f>
        <v>4990547.18</v>
      </c>
      <c r="R46" s="10">
        <f>C46+H46+M46</f>
        <v>4917256.93879</v>
      </c>
      <c r="S46" s="10">
        <f>Q46-R46</f>
        <v>73290.241209999658</v>
      </c>
      <c r="T46" s="11">
        <f>S46/R46*100</f>
        <v>1.4904700348652993</v>
      </c>
    </row>
    <row r="47" spans="1:40" ht="15" customHeight="1" x14ac:dyDescent="0.25">
      <c r="A47" s="15" t="s">
        <v>40</v>
      </c>
      <c r="B47" s="16">
        <f>B46/(B13/6)</f>
        <v>6.182041815569713</v>
      </c>
      <c r="C47" s="16">
        <f>C46/(C13/6)</f>
        <v>6.7480803010356185</v>
      </c>
      <c r="D47" s="16">
        <f>B47-C47</f>
        <v>-0.56603848546590552</v>
      </c>
      <c r="E47" s="11">
        <f>D47/C47*100</f>
        <v>-8.3881409262281057</v>
      </c>
      <c r="F47" s="16"/>
      <c r="G47" s="16">
        <f>G46/(G13/6)</f>
        <v>1.2690719084152065</v>
      </c>
      <c r="H47" s="16">
        <f>H46/(H13/6)</f>
        <v>1.6005574504331919</v>
      </c>
      <c r="I47" s="16">
        <f>G47-H47</f>
        <v>-0.33148554201798541</v>
      </c>
      <c r="J47" s="11">
        <f>I47/H47*100</f>
        <v>-20.710630657354326</v>
      </c>
      <c r="K47" s="16"/>
      <c r="L47" s="16">
        <f>L46/(L13/6)</f>
        <v>1.4936199433249586</v>
      </c>
      <c r="M47" s="16">
        <f>M46/(M13/6)</f>
        <v>1.6094566108179105</v>
      </c>
      <c r="N47" s="16">
        <f>L47-M47</f>
        <v>-0.11583666749295185</v>
      </c>
      <c r="O47" s="11">
        <f>N47/M47*100</f>
        <v>-7.1972532042404529</v>
      </c>
      <c r="P47" s="16"/>
      <c r="Q47" s="16">
        <f>Q46/(Q13/6)</f>
        <v>3.6443135366482502</v>
      </c>
      <c r="R47" s="16">
        <f>R46/(R13/6)</f>
        <v>4.1901532732485025</v>
      </c>
      <c r="S47" s="17">
        <f>Q47-R47</f>
        <v>-0.54583973660025231</v>
      </c>
      <c r="T47" s="11">
        <f>S47/R47*100</f>
        <v>-13.026724823769486</v>
      </c>
      <c r="V47" s="19"/>
      <c r="W47" s="19"/>
      <c r="Z47" s="19"/>
      <c r="AA47" s="19"/>
      <c r="AB47" s="19"/>
      <c r="AE47" s="19"/>
      <c r="AF47" s="19"/>
      <c r="AG47" s="19"/>
    </row>
    <row r="48" spans="1:40" ht="15" customHeight="1" x14ac:dyDescent="0.25">
      <c r="A48" s="15" t="s">
        <v>41</v>
      </c>
      <c r="B48" s="17"/>
      <c r="C48" s="17"/>
      <c r="D48" s="17"/>
      <c r="E48" s="11"/>
      <c r="F48" s="16"/>
      <c r="G48" s="17"/>
      <c r="H48" s="17"/>
      <c r="I48" s="17"/>
      <c r="J48" s="11"/>
      <c r="K48" s="16"/>
      <c r="L48" s="17"/>
      <c r="M48" s="17"/>
      <c r="N48" s="16"/>
      <c r="O48" s="11"/>
      <c r="P48" s="16"/>
      <c r="Q48" s="17"/>
      <c r="R48" s="17"/>
      <c r="S48" s="17"/>
      <c r="T48" s="11"/>
    </row>
    <row r="49" spans="1:34" s="12" customFormat="1" ht="15" customHeight="1" x14ac:dyDescent="0.25">
      <c r="A49" s="9" t="s">
        <v>39</v>
      </c>
      <c r="B49" s="10">
        <v>3907097.55</v>
      </c>
      <c r="C49" s="10">
        <v>2629516.5723899999</v>
      </c>
      <c r="D49" s="11">
        <f>B49-C49</f>
        <v>1277580.9776099999</v>
      </c>
      <c r="E49" s="11">
        <f>D49/C49*100</f>
        <v>48.586154239324337</v>
      </c>
      <c r="F49" s="11"/>
      <c r="G49" s="10">
        <v>338853.48</v>
      </c>
      <c r="H49" s="10">
        <v>414476.45554</v>
      </c>
      <c r="I49" s="11">
        <f>G49-H49</f>
        <v>-75622.975540000014</v>
      </c>
      <c r="J49" s="11">
        <f>I49/H49*100</f>
        <v>-18.245421309028213</v>
      </c>
      <c r="K49" s="11"/>
      <c r="L49" s="10">
        <v>165012.84</v>
      </c>
      <c r="M49" s="10">
        <v>149817.18497</v>
      </c>
      <c r="N49" s="11">
        <f t="shared" ref="N49:N54" si="10">L49-M49</f>
        <v>15195.655029999994</v>
      </c>
      <c r="O49" s="11">
        <f t="shared" ref="O49:O54" si="11">N49/M49*100</f>
        <v>10.142798393283677</v>
      </c>
      <c r="P49" s="11"/>
      <c r="Q49" s="10">
        <f>B49+G49+L49</f>
        <v>4410963.8699999992</v>
      </c>
      <c r="R49" s="10">
        <f>C49+H49+M49</f>
        <v>3193810.2128999997</v>
      </c>
      <c r="S49" s="10">
        <f>Q49-R49</f>
        <v>1217153.6570999995</v>
      </c>
      <c r="T49" s="11">
        <f t="shared" ref="T49:T54" si="12">S49/R49*100</f>
        <v>38.109767831032649</v>
      </c>
    </row>
    <row r="50" spans="1:34" ht="15" customHeight="1" x14ac:dyDescent="0.25">
      <c r="A50" s="15" t="s">
        <v>42</v>
      </c>
      <c r="B50" s="17">
        <f>B49/(B22/6)</f>
        <v>7.1430017342326639</v>
      </c>
      <c r="C50" s="17">
        <f>C49/(C22/6)</f>
        <v>5.1184452360193591</v>
      </c>
      <c r="D50" s="16">
        <f>B50-C50</f>
        <v>2.0245564982133049</v>
      </c>
      <c r="E50" s="11">
        <f>D50/C50*100</f>
        <v>39.554130304377601</v>
      </c>
      <c r="F50" s="16"/>
      <c r="G50" s="17">
        <f>G49/(G22/6)</f>
        <v>0.8462810656555525</v>
      </c>
      <c r="H50" s="17">
        <f>H49/(H22/6)</f>
        <v>1.2191013458917872</v>
      </c>
      <c r="I50" s="16">
        <f>G50-H50</f>
        <v>-0.3728202802362347</v>
      </c>
      <c r="J50" s="11">
        <f>I50/H50*100</f>
        <v>-30.581565797838749</v>
      </c>
      <c r="K50" s="16"/>
      <c r="L50" s="17">
        <f>L49/(L22/6)</f>
        <v>1.0975527713476554</v>
      </c>
      <c r="M50" s="17">
        <f>M49/(M22/6)</f>
        <v>1.2647333358874602</v>
      </c>
      <c r="N50" s="16">
        <f t="shared" si="10"/>
        <v>-0.16718056453980479</v>
      </c>
      <c r="O50" s="11">
        <f t="shared" si="11"/>
        <v>-13.218641416017915</v>
      </c>
      <c r="P50" s="16"/>
      <c r="Q50" s="17">
        <f>Q49/(Q22/6)</f>
        <v>4.0182529993588973</v>
      </c>
      <c r="R50" s="17">
        <f>R49/(R22/6)</f>
        <v>3.2852173784913186</v>
      </c>
      <c r="S50" s="17">
        <v>0</v>
      </c>
      <c r="T50" s="11">
        <f t="shared" si="12"/>
        <v>0</v>
      </c>
      <c r="V50" s="19"/>
      <c r="W50" s="19"/>
      <c r="Z50" s="19"/>
      <c r="AA50" s="19"/>
      <c r="AB50" s="19"/>
      <c r="AE50" s="19"/>
      <c r="AF50" s="19"/>
      <c r="AG50" s="19"/>
    </row>
    <row r="51" spans="1:34" s="12" customFormat="1" ht="15" customHeight="1" x14ac:dyDescent="0.25">
      <c r="A51" s="9" t="s">
        <v>43</v>
      </c>
      <c r="B51" s="10">
        <v>451756.84470333328</v>
      </c>
      <c r="C51" s="10">
        <v>431917.79</v>
      </c>
      <c r="D51" s="11">
        <f>B51-C51</f>
        <v>19839.054703333299</v>
      </c>
      <c r="E51" s="11">
        <f>D51/C51*100</f>
        <v>4.5932478732430306</v>
      </c>
      <c r="F51" s="11"/>
      <c r="G51" s="10">
        <v>416362.78360833338</v>
      </c>
      <c r="H51" s="10">
        <v>317425.49</v>
      </c>
      <c r="I51" s="11">
        <f>G51-H51</f>
        <v>98937.293608333392</v>
      </c>
      <c r="J51" s="11">
        <f>I51/H51*100</f>
        <v>31.168666891979402</v>
      </c>
      <c r="K51" s="11"/>
      <c r="L51" s="20">
        <v>151420.34456666667</v>
      </c>
      <c r="M51" s="20">
        <v>110822.57</v>
      </c>
      <c r="N51" s="11">
        <f t="shared" si="10"/>
        <v>40597.77456666666</v>
      </c>
      <c r="O51" s="11">
        <f t="shared" si="11"/>
        <v>36.633128582622348</v>
      </c>
      <c r="P51" s="11"/>
      <c r="Q51" s="10">
        <f t="shared" ref="Q51:R53" si="13">B51+G51+L51</f>
        <v>1019539.9728783333</v>
      </c>
      <c r="R51" s="10">
        <f t="shared" si="13"/>
        <v>860165.85000000009</v>
      </c>
      <c r="S51" s="10">
        <f>Q51-R51</f>
        <v>159374.1228783332</v>
      </c>
      <c r="T51" s="11">
        <f t="shared" si="12"/>
        <v>18.528301591877099</v>
      </c>
    </row>
    <row r="52" spans="1:34" s="12" customFormat="1" ht="15" customHeight="1" x14ac:dyDescent="0.25">
      <c r="A52" s="9" t="s">
        <v>44</v>
      </c>
      <c r="B52" s="10">
        <v>7012.8545300000005</v>
      </c>
      <c r="C52" s="10">
        <v>2226.1734100000003</v>
      </c>
      <c r="D52" s="11">
        <f>B52-C52</f>
        <v>4786.6811200000002</v>
      </c>
      <c r="E52" s="11">
        <f>D52/C52*100</f>
        <v>215.01834037268458</v>
      </c>
      <c r="F52" s="11"/>
      <c r="G52" s="10">
        <v>260.40857</v>
      </c>
      <c r="H52" s="10">
        <v>685.64946999999995</v>
      </c>
      <c r="I52" s="11">
        <f>G52-H52</f>
        <v>-425.24089999999995</v>
      </c>
      <c r="J52" s="11">
        <f>I52/H52*100</f>
        <v>-62.020160243104968</v>
      </c>
      <c r="K52" s="11"/>
      <c r="L52" s="10">
        <v>45.48</v>
      </c>
      <c r="M52" s="10">
        <v>47.933129999999998</v>
      </c>
      <c r="N52" s="11">
        <f t="shared" si="10"/>
        <v>-2.4531300000000016</v>
      </c>
      <c r="O52" s="11">
        <f t="shared" si="11"/>
        <v>-5.1178172591691835</v>
      </c>
      <c r="P52" s="11"/>
      <c r="Q52" s="10">
        <f t="shared" si="13"/>
        <v>7318.7430999999997</v>
      </c>
      <c r="R52" s="10">
        <f t="shared" si="13"/>
        <v>2959.7560100000001</v>
      </c>
      <c r="S52" s="10">
        <f>Q52-R52</f>
        <v>4358.9870899999996</v>
      </c>
      <c r="T52" s="11">
        <f t="shared" si="12"/>
        <v>147.27521712169781</v>
      </c>
    </row>
    <row r="53" spans="1:34" s="12" customFormat="1" ht="15" customHeight="1" x14ac:dyDescent="0.25">
      <c r="A53" s="9" t="s">
        <v>45</v>
      </c>
      <c r="B53" s="10">
        <v>58367.619250000003</v>
      </c>
      <c r="C53" s="10">
        <v>75047.199999999997</v>
      </c>
      <c r="D53" s="11">
        <f>B53-C53</f>
        <v>-16679.580749999994</v>
      </c>
      <c r="E53" s="11">
        <f>D53/C53*100</f>
        <v>-22.225453781087097</v>
      </c>
      <c r="F53" s="11"/>
      <c r="G53" s="10">
        <v>52177.001950000005</v>
      </c>
      <c r="H53" s="10">
        <v>55760.380000000005</v>
      </c>
      <c r="I53" s="11">
        <f>G53-H53</f>
        <v>-3583.3780499999993</v>
      </c>
      <c r="J53" s="11">
        <f>I53/H53*100</f>
        <v>-6.4263874277757775</v>
      </c>
      <c r="K53" s="11"/>
      <c r="L53" s="10">
        <v>18850.186189999997</v>
      </c>
      <c r="M53" s="10">
        <v>24539</v>
      </c>
      <c r="N53" s="11">
        <f t="shared" si="10"/>
        <v>-5688.8138100000033</v>
      </c>
      <c r="O53" s="11">
        <f t="shared" si="11"/>
        <v>-23.182745058885867</v>
      </c>
      <c r="P53" s="11"/>
      <c r="Q53" s="10">
        <f t="shared" si="13"/>
        <v>129394.80739</v>
      </c>
      <c r="R53" s="10">
        <f t="shared" si="13"/>
        <v>155346.58000000002</v>
      </c>
      <c r="S53" s="10">
        <f>Q53-R53</f>
        <v>-25951.772610000015</v>
      </c>
      <c r="T53" s="11">
        <f t="shared" si="12"/>
        <v>-16.705725101897968</v>
      </c>
    </row>
    <row r="54" spans="1:34" ht="15" hidden="1" customHeight="1" x14ac:dyDescent="0.25">
      <c r="A54" s="15" t="s">
        <v>46</v>
      </c>
      <c r="B54" s="17">
        <v>90740</v>
      </c>
      <c r="C54" s="17">
        <v>90740</v>
      </c>
      <c r="D54" s="17">
        <v>0</v>
      </c>
      <c r="E54" s="11">
        <v>0</v>
      </c>
      <c r="F54" s="16"/>
      <c r="G54" s="17">
        <v>88248</v>
      </c>
      <c r="H54" s="17">
        <v>88248</v>
      </c>
      <c r="I54" s="17">
        <v>0</v>
      </c>
      <c r="J54" s="11">
        <v>0</v>
      </c>
      <c r="K54" s="16"/>
      <c r="L54" s="17">
        <v>39196</v>
      </c>
      <c r="M54" s="17">
        <v>39196</v>
      </c>
      <c r="N54" s="16">
        <f t="shared" si="10"/>
        <v>0</v>
      </c>
      <c r="O54" s="11">
        <f t="shared" si="11"/>
        <v>0</v>
      </c>
      <c r="P54" s="16"/>
      <c r="Q54" s="17">
        <f>B54+G54+L54</f>
        <v>218184</v>
      </c>
      <c r="R54" s="17">
        <f>C54+H54+M54</f>
        <v>218184</v>
      </c>
      <c r="S54" s="17">
        <f>Q54-R54</f>
        <v>0</v>
      </c>
      <c r="T54" s="11">
        <f t="shared" si="12"/>
        <v>0</v>
      </c>
      <c r="X54" s="18"/>
      <c r="AC54" s="18"/>
      <c r="AH54" s="18"/>
    </row>
    <row r="55" spans="1:34" ht="9.9" customHeight="1" x14ac:dyDescent="0.25">
      <c r="B55" s="17"/>
      <c r="C55" s="17"/>
      <c r="D55" s="17"/>
      <c r="E55" s="11"/>
      <c r="F55" s="16"/>
      <c r="G55" s="17"/>
      <c r="H55" s="17"/>
      <c r="I55" s="17"/>
      <c r="J55" s="11"/>
      <c r="K55" s="16"/>
      <c r="L55" s="17"/>
      <c r="M55" s="17"/>
      <c r="N55" s="16"/>
      <c r="O55" s="11"/>
      <c r="P55" s="16"/>
      <c r="Q55" s="17"/>
      <c r="R55" s="17"/>
      <c r="S55" s="17"/>
      <c r="T55" s="11"/>
    </row>
    <row r="56" spans="1:34" ht="15.6" x14ac:dyDescent="0.3">
      <c r="A56" s="1" t="s">
        <v>47</v>
      </c>
      <c r="B56" s="17"/>
      <c r="C56" s="17"/>
      <c r="D56" s="17"/>
      <c r="E56" s="11"/>
      <c r="F56" s="16"/>
      <c r="G56" s="17"/>
      <c r="H56" s="17"/>
      <c r="I56" s="17"/>
      <c r="J56" s="11"/>
      <c r="K56" s="16"/>
      <c r="L56" s="17"/>
      <c r="M56" s="17"/>
      <c r="N56" s="16"/>
      <c r="O56" s="11"/>
      <c r="P56" s="16"/>
      <c r="Q56" s="17"/>
      <c r="R56" s="17"/>
      <c r="S56" s="17"/>
      <c r="T56" s="11"/>
    </row>
    <row r="57" spans="1:34" s="12" customFormat="1" ht="15.75" customHeight="1" x14ac:dyDescent="0.25">
      <c r="A57" s="9" t="s">
        <v>48</v>
      </c>
      <c r="B57" s="10">
        <f>+'[5]financial profile(mcso)'!$D$136</f>
        <v>398067.46179000003</v>
      </c>
      <c r="C57" s="10">
        <v>348823.29479000001</v>
      </c>
      <c r="D57" s="11">
        <f>B57-C57</f>
        <v>49244.167000000016</v>
      </c>
      <c r="E57" s="11">
        <f>D57/C57*100</f>
        <v>14.117224318303107</v>
      </c>
      <c r="F57" s="11"/>
      <c r="G57" s="10">
        <f>+'[5]financial profile(mcso)'!$D$137</f>
        <v>171239.61088999998</v>
      </c>
      <c r="H57" s="10">
        <v>165295.65888999999</v>
      </c>
      <c r="I57" s="11">
        <f>G57-H57</f>
        <v>5943.9519999999902</v>
      </c>
      <c r="J57" s="11">
        <f>I57/H57*100</f>
        <v>3.5959516661932041</v>
      </c>
      <c r="K57" s="11"/>
      <c r="L57" s="10">
        <f>+'[5]financial profile(mcso)'!$D$138</f>
        <v>263234.50387999997</v>
      </c>
      <c r="M57" s="10">
        <v>231763.38287999999</v>
      </c>
      <c r="N57" s="11">
        <f>L57-M57</f>
        <v>31471.120999999985</v>
      </c>
      <c r="O57" s="11">
        <f>N57/M57*100</f>
        <v>13.578987590241884</v>
      </c>
      <c r="P57" s="11"/>
      <c r="Q57" s="10">
        <f>B57+G57+L57</f>
        <v>832541.57655999996</v>
      </c>
      <c r="R57" s="10">
        <f>C57+H57+M57</f>
        <v>745882.33655999997</v>
      </c>
      <c r="S57" s="10">
        <f>Q57-R57</f>
        <v>86659.239999999991</v>
      </c>
      <c r="T57" s="11">
        <f>S57/R57*100</f>
        <v>11.618352621094544</v>
      </c>
    </row>
    <row r="58" spans="1:34" s="12" customFormat="1" ht="15" customHeight="1" x14ac:dyDescent="0.25">
      <c r="A58" s="9" t="s">
        <v>49</v>
      </c>
      <c r="B58" s="20">
        <f>+'[5]financial profile(mcso)'!$E$136</f>
        <v>421244.16467999999</v>
      </c>
      <c r="C58" s="20">
        <v>373147.49368000001</v>
      </c>
      <c r="D58" s="11">
        <f>B58-C58</f>
        <v>48096.670999999973</v>
      </c>
      <c r="E58" s="11">
        <f>D58/C58*100</f>
        <v>12.889453048623775</v>
      </c>
      <c r="F58" s="11"/>
      <c r="G58" s="10">
        <f>+'[5]financial profile(mcso)'!$E$137</f>
        <v>178497.56405000002</v>
      </c>
      <c r="H58" s="10">
        <v>173799.22830000002</v>
      </c>
      <c r="I58" s="11">
        <f>G58-H58</f>
        <v>4698.3357499999984</v>
      </c>
      <c r="J58" s="11">
        <f>I58/H58*100</f>
        <v>2.7033122045226006</v>
      </c>
      <c r="K58" s="11"/>
      <c r="L58" s="10">
        <f>+'[5]financial profile(mcso)'!$E$138</f>
        <v>263240.08523999999</v>
      </c>
      <c r="M58" s="10">
        <v>232093.78324000002</v>
      </c>
      <c r="N58" s="11">
        <f>L58-M58</f>
        <v>31146.301999999967</v>
      </c>
      <c r="O58" s="11">
        <f>N58/M58*100</f>
        <v>13.41970541614752</v>
      </c>
      <c r="P58" s="11"/>
      <c r="Q58" s="10">
        <f>B58+G58+L58</f>
        <v>862981.81397000002</v>
      </c>
      <c r="R58" s="10">
        <f>C58+H58+M58</f>
        <v>779040.50522000005</v>
      </c>
      <c r="S58" s="10">
        <f>Q58-R58</f>
        <v>83941.308749999967</v>
      </c>
      <c r="T58" s="11">
        <f>S58/R58*100</f>
        <v>10.774960761031938</v>
      </c>
    </row>
    <row r="59" spans="1:34" ht="15" customHeight="1" x14ac:dyDescent="0.25">
      <c r="A59" s="21" t="s">
        <v>50</v>
      </c>
      <c r="B59" s="22">
        <f>+'[5]financial profile(mcso)'!$I$136</f>
        <v>-1.8988341801743633</v>
      </c>
      <c r="C59" s="22">
        <v>-1.9263800712685104</v>
      </c>
      <c r="D59" s="16">
        <f>B59-C59</f>
        <v>2.7545891094147068E-2</v>
      </c>
      <c r="E59" s="11">
        <f>D59/C59*100</f>
        <v>-1.4299302357300787</v>
      </c>
      <c r="F59" s="16"/>
      <c r="G59" s="17">
        <f>+'[5]financial profile(mcso)'!$I$137</f>
        <v>-4.8842609496173814</v>
      </c>
      <c r="H59" s="17">
        <v>-5.7225020726950859</v>
      </c>
      <c r="I59" s="16">
        <f>G59-H59</f>
        <v>0.83824112307770449</v>
      </c>
      <c r="J59" s="11">
        <f>I59/H59*100</f>
        <v>-14.648157614085827</v>
      </c>
      <c r="K59" s="16"/>
      <c r="L59" s="17">
        <f>+'[5]financial profile(mcso)'!$I$138</f>
        <v>-7.8277879910193743E-4</v>
      </c>
      <c r="M59" s="17">
        <v>-4.1994102529560914E-2</v>
      </c>
      <c r="N59" s="16">
        <f>L59-M59</f>
        <v>4.1211323730458979E-2</v>
      </c>
      <c r="O59" s="11">
        <f>N59/M59*100</f>
        <v>-98.135979216246099</v>
      </c>
      <c r="P59" s="16"/>
      <c r="Q59" s="17">
        <f>+'[5]financial profile(mcso)'!$I$139</f>
        <v>-1.4619315985597905</v>
      </c>
      <c r="R59" s="17">
        <v>-1.5085154010140678</v>
      </c>
      <c r="S59" s="17">
        <f>Q59-R59</f>
        <v>4.658380245427729E-2</v>
      </c>
      <c r="T59" s="11">
        <f>S59/R59*100</f>
        <v>-3.0880561393647232</v>
      </c>
      <c r="U59" s="19"/>
      <c r="V59" s="19"/>
      <c r="W59" s="19"/>
      <c r="X59" s="19"/>
      <c r="Y59" s="19"/>
      <c r="Z59" s="19"/>
      <c r="AA59" s="19"/>
      <c r="AB59" s="18"/>
      <c r="AC59" s="18"/>
      <c r="AD59" s="18"/>
      <c r="AE59" s="18"/>
      <c r="AF59" s="18"/>
      <c r="AG59" s="18"/>
      <c r="AH59" s="18"/>
    </row>
    <row r="60" spans="1:34" s="12" customFormat="1" ht="15" customHeight="1" x14ac:dyDescent="0.25">
      <c r="A60" s="23" t="s">
        <v>51</v>
      </c>
      <c r="B60" s="10">
        <f>+'[5]financial profile(mcso)'!$F$136</f>
        <v>-23176.702889999957</v>
      </c>
      <c r="C60" s="10">
        <v>-24324.19889</v>
      </c>
      <c r="D60" s="11">
        <f>B60-C60</f>
        <v>1147.4960000000428</v>
      </c>
      <c r="E60" s="11">
        <f>D60/C60*100</f>
        <v>-4.7175078825382961</v>
      </c>
      <c r="F60" s="11"/>
      <c r="G60" s="10">
        <f>+'[5]financial profile(mcso)'!$F$137</f>
        <v>-7257.9531600000337</v>
      </c>
      <c r="H60" s="10">
        <v>-8503.5694100000255</v>
      </c>
      <c r="I60" s="11">
        <f>G60-H60</f>
        <v>1245.6162499999919</v>
      </c>
      <c r="J60" s="11">
        <f>I60/H60*100</f>
        <v>-14.648157614085825</v>
      </c>
      <c r="K60" s="11"/>
      <c r="L60" s="10">
        <f>+'[5]financial profile(mcso)'!$F$138</f>
        <v>-5.5813600000110455</v>
      </c>
      <c r="M60" s="10">
        <v>-330.40036000002874</v>
      </c>
      <c r="N60" s="11">
        <f>L60-M60</f>
        <v>324.8190000000177</v>
      </c>
      <c r="O60" s="11">
        <f>N60/M60*100</f>
        <v>-98.310728232859503</v>
      </c>
      <c r="P60" s="11"/>
      <c r="Q60" s="10">
        <f>B60+G60+L60</f>
        <v>-30440.237410000002</v>
      </c>
      <c r="R60" s="10">
        <f>C60+H60+M60</f>
        <v>-33158.168660000054</v>
      </c>
      <c r="S60" s="10">
        <f>Q60-R60</f>
        <v>2717.9312500000524</v>
      </c>
      <c r="T60" s="11">
        <f>S60/R60*100</f>
        <v>-8.1968678001170652</v>
      </c>
    </row>
    <row r="61" spans="1:34" s="12" customFormat="1" ht="15" customHeight="1" x14ac:dyDescent="0.25">
      <c r="A61" s="9" t="s">
        <v>52</v>
      </c>
      <c r="B61" s="10">
        <f>+'[5]financial profile(mcso)'!$K$136</f>
        <v>237174.27183000001</v>
      </c>
      <c r="C61" s="10">
        <v>271693.38082999998</v>
      </c>
      <c r="D61" s="11">
        <f>B61-C61</f>
        <v>-34519.108999999968</v>
      </c>
      <c r="E61" s="11">
        <f>D61/C61*100</f>
        <v>-12.705171136134066</v>
      </c>
      <c r="F61" s="11"/>
      <c r="G61" s="10">
        <f>+'[5]financial profile(mcso)'!$K$137</f>
        <v>37327.961840000004</v>
      </c>
      <c r="H61" s="10">
        <v>39232.146590000004</v>
      </c>
      <c r="I61" s="11">
        <f>G61-H61</f>
        <v>-1904.1847500000003</v>
      </c>
      <c r="J61" s="11">
        <f>I61/H61*100</f>
        <v>-4.8536338577134179</v>
      </c>
      <c r="K61" s="24"/>
      <c r="L61" s="10">
        <f>+'[5]financial profile(mcso)'!$K$138</f>
        <v>93408.420639999997</v>
      </c>
      <c r="M61" s="10">
        <v>117814.59764000001</v>
      </c>
      <c r="N61" s="11">
        <f>L61-M61</f>
        <v>-24406.177000000011</v>
      </c>
      <c r="O61" s="11">
        <f>N61/M61*100</f>
        <v>-20.715749566600149</v>
      </c>
      <c r="P61" s="11"/>
      <c r="Q61" s="10">
        <f>B61+G61+L61</f>
        <v>367910.65431000001</v>
      </c>
      <c r="R61" s="10">
        <f>C61+H61+M61</f>
        <v>428740.12505999999</v>
      </c>
      <c r="S61" s="10">
        <f>Q61-R61</f>
        <v>-60829.470749999979</v>
      </c>
      <c r="T61" s="11">
        <f>S61/R61*100</f>
        <v>-14.187958437873574</v>
      </c>
    </row>
    <row r="62" spans="1:34" ht="14.25" customHeight="1" x14ac:dyDescent="0.25">
      <c r="B62" s="17"/>
      <c r="C62" s="17"/>
      <c r="D62" s="17"/>
      <c r="E62" s="11"/>
      <c r="F62" s="16"/>
      <c r="G62" s="17"/>
      <c r="H62" s="17"/>
      <c r="I62" s="17"/>
      <c r="J62" s="11"/>
      <c r="K62" s="16"/>
      <c r="L62" s="17"/>
      <c r="M62" s="17"/>
      <c r="N62" s="16"/>
      <c r="O62" s="11"/>
      <c r="P62" s="16"/>
      <c r="Q62" s="17"/>
      <c r="R62" s="17"/>
      <c r="S62" s="17"/>
      <c r="T62" s="11"/>
    </row>
    <row r="63" spans="1:34" ht="18.75" customHeight="1" x14ac:dyDescent="0.3">
      <c r="A63" s="1" t="s">
        <v>53</v>
      </c>
      <c r="B63" s="17"/>
      <c r="C63" s="17"/>
      <c r="D63" s="17"/>
      <c r="E63" s="11"/>
      <c r="F63" s="16"/>
      <c r="G63" s="17"/>
      <c r="H63" s="17"/>
      <c r="I63" s="17"/>
      <c r="J63" s="11"/>
      <c r="K63" s="16"/>
      <c r="L63" s="17"/>
      <c r="M63" s="17"/>
      <c r="N63" s="16"/>
      <c r="O63" s="11"/>
      <c r="P63" s="16"/>
      <c r="Q63" s="17"/>
      <c r="R63" s="17"/>
      <c r="S63" s="17"/>
      <c r="T63" s="11"/>
    </row>
    <row r="64" spans="1:34" ht="9.9" customHeight="1" x14ac:dyDescent="0.25">
      <c r="B64" s="17"/>
      <c r="C64" s="17"/>
      <c r="D64" s="17"/>
      <c r="E64" s="11"/>
      <c r="F64" s="16"/>
      <c r="G64" s="17"/>
      <c r="H64" s="17"/>
      <c r="I64" s="17"/>
      <c r="J64" s="11"/>
      <c r="K64" s="16"/>
      <c r="L64" s="17"/>
      <c r="M64" s="17"/>
      <c r="N64" s="16"/>
      <c r="O64" s="11"/>
      <c r="P64" s="16"/>
      <c r="Q64" s="17"/>
      <c r="R64" s="17"/>
      <c r="S64" s="17"/>
      <c r="T64" s="11"/>
    </row>
    <row r="65" spans="1:34" s="12" customFormat="1" ht="15" customHeight="1" x14ac:dyDescent="0.25">
      <c r="A65" s="9" t="s">
        <v>54</v>
      </c>
      <c r="B65" s="10">
        <f>VLOOKUP(A65,[6]REG11!$A$65:$O$77,2,FALSE)</f>
        <v>319536.40553299099</v>
      </c>
      <c r="C65" s="10">
        <v>314248</v>
      </c>
      <c r="D65" s="11">
        <f>B65-C65</f>
        <v>5288.4055329909897</v>
      </c>
      <c r="E65" s="11">
        <f>D65/C65*100</f>
        <v>1.6828764329418135</v>
      </c>
      <c r="F65" s="11"/>
      <c r="G65" s="10">
        <f>VLOOKUP(A65,[6]REG11!$A$65:$O$77,7,FALSE)</f>
        <v>252495.16910000003</v>
      </c>
      <c r="H65" s="10">
        <v>229036</v>
      </c>
      <c r="I65" s="11">
        <f>G65-H65</f>
        <v>23459.169100000028</v>
      </c>
      <c r="J65" s="11">
        <f>I65/H65*100</f>
        <v>10.242568460853327</v>
      </c>
      <c r="K65" s="11"/>
      <c r="L65" s="10">
        <f>VLOOKUP(A65,[6]REG11!$A$65:$O$77,12,FALSE)</f>
        <v>94875.009139999995</v>
      </c>
      <c r="M65" s="10">
        <v>95714</v>
      </c>
      <c r="N65" s="11">
        <f>L65-M65</f>
        <v>-838.99086000000534</v>
      </c>
      <c r="O65" s="11">
        <f>N65/M65*100</f>
        <v>-0.87656023152308471</v>
      </c>
      <c r="P65" s="11"/>
      <c r="Q65" s="10">
        <f t="shared" ref="Q65:R67" si="14">B65+G65+L65</f>
        <v>666906.58377299097</v>
      </c>
      <c r="R65" s="10">
        <f t="shared" si="14"/>
        <v>638998</v>
      </c>
      <c r="S65" s="10">
        <f t="shared" ref="S65:S77" si="15">Q65-R65</f>
        <v>27908.583772990969</v>
      </c>
      <c r="T65" s="11">
        <f t="shared" ref="T65:T70" si="16">S65/R65*100</f>
        <v>4.3675541665218001</v>
      </c>
    </row>
    <row r="66" spans="1:34" s="12" customFormat="1" ht="15" customHeight="1" x14ac:dyDescent="0.25">
      <c r="A66" s="9" t="s">
        <v>55</v>
      </c>
      <c r="B66" s="10">
        <f>VLOOKUP(A66,[6]REG11!$A$65:$O$77,2,FALSE)</f>
        <v>280661.29736000003</v>
      </c>
      <c r="C66" s="10">
        <v>259467</v>
      </c>
      <c r="D66" s="11">
        <f>B66-C66</f>
        <v>21194.297360000026</v>
      </c>
      <c r="E66" s="11">
        <f>D66/C66*100</f>
        <v>8.1683980467651089</v>
      </c>
      <c r="F66" s="11"/>
      <c r="G66" s="10">
        <f>VLOOKUP(A66,[6]REG11!$A$65:$O$77,7,FALSE)</f>
        <v>227342.15400000001</v>
      </c>
      <c r="H66" s="10">
        <v>206602</v>
      </c>
      <c r="I66" s="11">
        <f>G66-H66</f>
        <v>20740.15400000001</v>
      </c>
      <c r="J66" s="11">
        <f>I66/H66*100</f>
        <v>10.038699528562168</v>
      </c>
      <c r="K66" s="11"/>
      <c r="L66" s="10">
        <f>VLOOKUP(A66,[6]REG11!$A$65:$O$77,12,FALSE)</f>
        <v>82496.841329999996</v>
      </c>
      <c r="M66" s="10">
        <v>80345</v>
      </c>
      <c r="N66" s="11">
        <f>L66-M66</f>
        <v>2151.8413299999957</v>
      </c>
      <c r="O66" s="11">
        <f>N66/M66*100</f>
        <v>2.6782517020349688</v>
      </c>
      <c r="P66" s="11"/>
      <c r="Q66" s="10">
        <f>B66+G66+L66</f>
        <v>590500.29269000003</v>
      </c>
      <c r="R66" s="10">
        <f>C66+H66+M66</f>
        <v>546414</v>
      </c>
      <c r="S66" s="10">
        <f t="shared" si="15"/>
        <v>44086.292690000031</v>
      </c>
      <c r="T66" s="11">
        <f t="shared" si="16"/>
        <v>8.0682948625035298</v>
      </c>
    </row>
    <row r="67" spans="1:34" s="12" customFormat="1" ht="15" customHeight="1" x14ac:dyDescent="0.25">
      <c r="A67" s="9" t="s">
        <v>56</v>
      </c>
      <c r="B67" s="10">
        <f>VLOOKUP(A67,[6]REG11!$A$65:$O$77,2,FALSE)</f>
        <v>330.94600000000003</v>
      </c>
      <c r="C67" s="10">
        <v>275</v>
      </c>
      <c r="D67" s="11">
        <f>B67-C67</f>
        <v>55.946000000000026</v>
      </c>
      <c r="E67" s="11">
        <f>D67/C67*100</f>
        <v>20.344000000000008</v>
      </c>
      <c r="F67" s="11"/>
      <c r="G67" s="10">
        <f>VLOOKUP(A67,[6]REG11!$A$65:$O$77,7,FALSE)</f>
        <v>645.01800000000003</v>
      </c>
      <c r="H67" s="10">
        <v>825</v>
      </c>
      <c r="I67" s="11">
        <f>G67-H67</f>
        <v>-179.98199999999997</v>
      </c>
      <c r="J67" s="11">
        <f>I67/H67*100</f>
        <v>-21.815999999999995</v>
      </c>
      <c r="K67" s="11"/>
      <c r="L67" s="10">
        <f>VLOOKUP(A67,[6]REG11!$A$65:$O$77,12,FALSE)</f>
        <v>147.191</v>
      </c>
      <c r="M67" s="10">
        <v>127</v>
      </c>
      <c r="N67" s="11">
        <f>L67-M67</f>
        <v>20.191000000000003</v>
      </c>
      <c r="O67" s="11">
        <f>N67/M67*100</f>
        <v>15.898425196850397</v>
      </c>
      <c r="P67" s="11"/>
      <c r="Q67" s="10">
        <f t="shared" si="14"/>
        <v>1123.155</v>
      </c>
      <c r="R67" s="10">
        <f t="shared" si="14"/>
        <v>1227</v>
      </c>
      <c r="S67" s="10">
        <f t="shared" si="15"/>
        <v>-103.84500000000003</v>
      </c>
      <c r="T67" s="11">
        <f t="shared" si="16"/>
        <v>-8.463325183374085</v>
      </c>
    </row>
    <row r="68" spans="1:34" ht="15" customHeight="1" x14ac:dyDescent="0.25">
      <c r="A68" s="15" t="s">
        <v>57</v>
      </c>
      <c r="B68" s="17">
        <f>(B65-B66-B67)/B65*100</f>
        <v>12.062526055113747</v>
      </c>
      <c r="C68" s="17">
        <f>(C65-C66-C67)/C65*100</f>
        <v>17.344899569766554</v>
      </c>
      <c r="D68" s="17"/>
      <c r="E68" s="26">
        <f>B68-C68</f>
        <v>-5.2823735146528072</v>
      </c>
      <c r="F68" s="16"/>
      <c r="G68" s="17">
        <f>(G65-G66-G67)/G65*100</f>
        <v>9.7063231694122809</v>
      </c>
      <c r="H68" s="17">
        <f>(H65-H66-H67)/H65*100</f>
        <v>9.4347613475610821</v>
      </c>
      <c r="I68" s="17"/>
      <c r="J68" s="26">
        <f>G68-H68</f>
        <v>0.27156182185119881</v>
      </c>
      <c r="K68" s="16"/>
      <c r="L68" s="17">
        <f>(L65-L66-L67)/L65*100</f>
        <v>12.891673920106458</v>
      </c>
      <c r="M68" s="17">
        <f>(M65-M66-M67)/M65*100</f>
        <v>15.924525147836263</v>
      </c>
      <c r="N68" s="16"/>
      <c r="O68" s="26">
        <f>L68-M68</f>
        <v>-3.0328512277298056</v>
      </c>
      <c r="P68" s="16"/>
      <c r="Q68" s="17">
        <f>(Q65-Q66-Q67)/Q65*100</f>
        <v>11.288407989178983</v>
      </c>
      <c r="R68" s="17">
        <f>(R65-R66-R67)/R65*100</f>
        <v>14.296914857323499</v>
      </c>
      <c r="S68" s="17"/>
      <c r="T68" s="26">
        <f>Q68-R68</f>
        <v>-3.0085068681445151</v>
      </c>
      <c r="U68" s="18"/>
      <c r="V68" s="19"/>
      <c r="W68" s="19"/>
      <c r="X68" s="19"/>
      <c r="Z68" s="19"/>
      <c r="AA68" s="19"/>
      <c r="AB68" s="19"/>
      <c r="AC68" s="19"/>
      <c r="AE68" s="19"/>
      <c r="AF68" s="19"/>
      <c r="AG68" s="19"/>
      <c r="AH68" s="19"/>
    </row>
    <row r="69" spans="1:34" ht="15" customHeight="1" x14ac:dyDescent="0.25">
      <c r="A69" s="15" t="s">
        <v>58</v>
      </c>
      <c r="B69" s="17">
        <f>B13/B66</f>
        <v>13.970658644823986</v>
      </c>
      <c r="C69" s="17">
        <f>C13/C66</f>
        <v>13.646163789614866</v>
      </c>
      <c r="D69" s="16">
        <f>B69-C69</f>
        <v>0.32449485520912091</v>
      </c>
      <c r="E69" s="11">
        <f>B69-C69</f>
        <v>0.32449485520912091</v>
      </c>
      <c r="F69" s="16"/>
      <c r="G69" s="17">
        <f>G13/(G66+G67)</f>
        <v>13.915014147462646</v>
      </c>
      <c r="H69" s="17">
        <f>H13/(H66+H67)</f>
        <v>12.663288144744898</v>
      </c>
      <c r="I69" s="16">
        <f>G69-H69</f>
        <v>1.2517260027177475</v>
      </c>
      <c r="J69" s="11">
        <f>I69/H69*100</f>
        <v>9.884683886287446</v>
      </c>
      <c r="K69" s="16"/>
      <c r="L69" s="17">
        <f>L13/(L66+L67)</f>
        <v>13.588058870190899</v>
      </c>
      <c r="M69" s="17">
        <f>M13/(M66+M67)</f>
        <v>10.857483721045829</v>
      </c>
      <c r="N69" s="16">
        <f>L69-M69</f>
        <v>2.7305751491450696</v>
      </c>
      <c r="O69" s="11">
        <f>N69/M69*100</f>
        <v>25.149244698863349</v>
      </c>
      <c r="P69" s="16"/>
      <c r="Q69" s="17">
        <f>Q13/Q66</f>
        <v>13.914370547032826</v>
      </c>
      <c r="R69" s="17">
        <f>R13/R66</f>
        <v>12.886127515034389</v>
      </c>
      <c r="S69" s="17">
        <f t="shared" si="15"/>
        <v>1.0282430319984375</v>
      </c>
      <c r="T69" s="11">
        <f t="shared" si="16"/>
        <v>7.9794572170636595</v>
      </c>
      <c r="V69" s="19"/>
      <c r="W69" s="19"/>
      <c r="X69" s="19"/>
      <c r="Z69" s="19"/>
      <c r="AA69" s="19"/>
      <c r="AB69" s="19"/>
      <c r="AC69" s="19"/>
      <c r="AE69" s="19"/>
      <c r="AF69" s="19"/>
      <c r="AG69" s="19"/>
      <c r="AH69" s="19"/>
    </row>
    <row r="70" spans="1:34" ht="15" customHeight="1" x14ac:dyDescent="0.25">
      <c r="A70" s="15" t="s">
        <v>59</v>
      </c>
      <c r="B70" s="17">
        <f>B22/B65</f>
        <v>10.270803108634068</v>
      </c>
      <c r="C70" s="17">
        <f>C22/C65</f>
        <v>9.8088158078969485</v>
      </c>
      <c r="D70" s="16">
        <f>B70-C70</f>
        <v>0.46198730073711936</v>
      </c>
      <c r="E70" s="11">
        <f>D70/C70*100</f>
        <v>4.7099192174164335</v>
      </c>
      <c r="F70" s="16"/>
      <c r="G70" s="17">
        <f>G22/G65</f>
        <v>9.5147088400274651</v>
      </c>
      <c r="H70" s="17">
        <f>H22/H65</f>
        <v>8.9065098936411733</v>
      </c>
      <c r="I70" s="16">
        <f>G70-H70</f>
        <v>0.60819894638629179</v>
      </c>
      <c r="J70" s="11">
        <f>I70/H70*100</f>
        <v>6.8287011820479426</v>
      </c>
      <c r="K70" s="16"/>
      <c r="L70" s="17">
        <f>L22/L65</f>
        <v>9.5080563701329623</v>
      </c>
      <c r="M70" s="17">
        <f>M22/M65</f>
        <v>7.4257179722924551</v>
      </c>
      <c r="N70" s="16">
        <f>L70-M70</f>
        <v>2.0823383978405072</v>
      </c>
      <c r="O70" s="11">
        <f>N70/M70*100</f>
        <v>28.042249996705049</v>
      </c>
      <c r="P70" s="16"/>
      <c r="Q70" s="17">
        <f>Q22/Q65</f>
        <v>9.8760315463191581</v>
      </c>
      <c r="R70" s="17">
        <f>R22/R65</f>
        <v>9.1284437822966584</v>
      </c>
      <c r="S70" s="17">
        <f t="shared" si="15"/>
        <v>0.74758776402249971</v>
      </c>
      <c r="T70" s="11">
        <f t="shared" si="16"/>
        <v>8.1896518382721677</v>
      </c>
      <c r="V70" s="19"/>
      <c r="W70" s="19"/>
      <c r="X70" s="19"/>
      <c r="Z70" s="19"/>
      <c r="AA70" s="19"/>
      <c r="AB70" s="19"/>
      <c r="AC70" s="19"/>
      <c r="AE70" s="19"/>
      <c r="AF70" s="19"/>
      <c r="AG70" s="19"/>
      <c r="AH70" s="19"/>
    </row>
    <row r="71" spans="1:34" ht="15" hidden="1" customHeight="1" x14ac:dyDescent="0.25">
      <c r="A71" s="15" t="s">
        <v>60</v>
      </c>
      <c r="B71" s="17"/>
      <c r="C71" s="17"/>
      <c r="D71" s="17"/>
      <c r="E71" s="11">
        <f>B71-C71</f>
        <v>0</v>
      </c>
      <c r="F71" s="16"/>
      <c r="G71" s="17"/>
      <c r="H71" s="17"/>
      <c r="I71" s="17"/>
      <c r="J71" s="11">
        <f>G71-H71</f>
        <v>0</v>
      </c>
      <c r="K71" s="16"/>
      <c r="L71" s="17"/>
      <c r="M71" s="17"/>
      <c r="N71" s="16"/>
      <c r="O71" s="11">
        <f>L71-M71</f>
        <v>0</v>
      </c>
      <c r="P71" s="16"/>
      <c r="Q71" s="17"/>
      <c r="R71" s="22" t="str">
        <f>'[7]REG XI'!$R$97</f>
        <v>164</v>
      </c>
      <c r="S71" s="17"/>
      <c r="T71" s="11">
        <f>+Q71-R71</f>
        <v>-164</v>
      </c>
      <c r="W71" s="18"/>
      <c r="X71" s="19"/>
      <c r="AB71" s="18"/>
      <c r="AC71" s="19"/>
      <c r="AG71" s="18"/>
      <c r="AH71" s="19"/>
    </row>
    <row r="72" spans="1:34" ht="15" customHeight="1" x14ac:dyDescent="0.25">
      <c r="A72" s="15" t="s">
        <v>68</v>
      </c>
      <c r="B72" s="17">
        <v>70.83</v>
      </c>
      <c r="C72" s="17">
        <v>65.5</v>
      </c>
      <c r="D72" s="17"/>
      <c r="E72" s="26">
        <f>+B72-C72</f>
        <v>5.3299999999999983</v>
      </c>
      <c r="F72" s="16"/>
      <c r="G72" s="16">
        <v>97.53</v>
      </c>
      <c r="H72" s="16">
        <v>95.24</v>
      </c>
      <c r="I72" s="17"/>
      <c r="J72" s="26">
        <f>+G72-H72</f>
        <v>2.2900000000000063</v>
      </c>
      <c r="K72" s="16"/>
      <c r="L72" s="16">
        <v>96.06</v>
      </c>
      <c r="M72" s="16">
        <v>95.92</v>
      </c>
      <c r="N72" s="16"/>
      <c r="O72" s="26">
        <f>+L72-M72</f>
        <v>0.14000000000000057</v>
      </c>
      <c r="P72" s="16"/>
      <c r="Q72" s="17">
        <f>(B72+G72+L72)/3</f>
        <v>88.14</v>
      </c>
      <c r="R72" s="17">
        <f>(C72+H72+M72)/3</f>
        <v>85.553333333333342</v>
      </c>
      <c r="S72" s="17"/>
      <c r="T72" s="26">
        <f>+Q72-R72</f>
        <v>2.5866666666666589</v>
      </c>
      <c r="U72" s="25"/>
      <c r="V72" s="25"/>
      <c r="W72" s="25"/>
      <c r="X72" s="25"/>
      <c r="AB72" s="18"/>
      <c r="AC72" s="19"/>
      <c r="AG72" s="18"/>
      <c r="AH72" s="19"/>
    </row>
    <row r="73" spans="1:34" s="12" customFormat="1" ht="15" customHeight="1" x14ac:dyDescent="0.25">
      <c r="A73" s="9" t="s">
        <v>61</v>
      </c>
      <c r="B73" s="10">
        <f>VLOOKUP(A73,[6]REG11!$A$65:$O$77,2,FALSE)</f>
        <v>213698</v>
      </c>
      <c r="C73" s="10">
        <v>207551</v>
      </c>
      <c r="D73" s="11">
        <f>B73-C73</f>
        <v>6147</v>
      </c>
      <c r="E73" s="11">
        <f>D73/C73*100</f>
        <v>2.9616817071466772</v>
      </c>
      <c r="F73" s="11"/>
      <c r="G73" s="10">
        <f>VLOOKUP(A73,[6]REG11!$A$65:$O$77,7,FALSE)</f>
        <v>187428</v>
      </c>
      <c r="H73" s="10">
        <v>187794</v>
      </c>
      <c r="I73" s="11">
        <f>G73-H73</f>
        <v>-366</v>
      </c>
      <c r="J73" s="11">
        <f>I73/H73*100</f>
        <v>-0.194894405572063</v>
      </c>
      <c r="K73" s="11"/>
      <c r="L73" s="10">
        <f>VLOOKUP(A73,[6]REG11!$A$65:$O$77,12,FALSE)</f>
        <v>98729</v>
      </c>
      <c r="M73" s="10">
        <v>97380</v>
      </c>
      <c r="N73" s="11">
        <f>L73-M73</f>
        <v>1349</v>
      </c>
      <c r="O73" s="11">
        <f>N73/M73*100</f>
        <v>1.3852947217087697</v>
      </c>
      <c r="P73" s="11"/>
      <c r="Q73" s="10">
        <f>B73+G73+L73</f>
        <v>499855</v>
      </c>
      <c r="R73" s="10">
        <f>C73+H73+M73</f>
        <v>492725</v>
      </c>
      <c r="S73" s="10">
        <f t="shared" si="15"/>
        <v>7130</v>
      </c>
      <c r="T73" s="11">
        <f>S73/R73*100</f>
        <v>1.4470546450860013</v>
      </c>
    </row>
    <row r="74" spans="1:34" s="12" customFormat="1" ht="15" customHeight="1" x14ac:dyDescent="0.25">
      <c r="A74" s="9" t="s">
        <v>62</v>
      </c>
      <c r="B74" s="10">
        <f>VLOOKUP(A74,[6]REG11!$A$65:$O$77,2,FALSE)</f>
        <v>460</v>
      </c>
      <c r="C74" s="10">
        <v>460</v>
      </c>
      <c r="D74" s="11">
        <f>B74-C74</f>
        <v>0</v>
      </c>
      <c r="E74" s="11">
        <f>D74/C74*100</f>
        <v>0</v>
      </c>
      <c r="F74" s="11"/>
      <c r="G74" s="10">
        <f>VLOOKUP(A74,[6]REG11!$A$65:$O$77,7,FALSE)</f>
        <v>289</v>
      </c>
      <c r="H74" s="10">
        <v>294</v>
      </c>
      <c r="I74" s="11">
        <f>G74-H74</f>
        <v>-5</v>
      </c>
      <c r="J74" s="11">
        <f>I74/H74*100</f>
        <v>-1.7006802721088436</v>
      </c>
      <c r="K74" s="11"/>
      <c r="L74" s="10">
        <f>VLOOKUP(A74,[6]REG11!$A$65:$O$77,12,FALSE)</f>
        <v>186</v>
      </c>
      <c r="M74" s="10">
        <v>195</v>
      </c>
      <c r="N74" s="11">
        <f>L74-M74</f>
        <v>-9</v>
      </c>
      <c r="O74" s="11">
        <f>N74/M74*100</f>
        <v>-4.6153846153846159</v>
      </c>
      <c r="P74" s="11"/>
      <c r="Q74" s="10">
        <f>B74+G74+L74</f>
        <v>935</v>
      </c>
      <c r="R74" s="10">
        <f>C74+H74+M74</f>
        <v>949</v>
      </c>
      <c r="S74" s="10">
        <f t="shared" si="15"/>
        <v>-14</v>
      </c>
      <c r="T74" s="11">
        <f>S74/R74*100</f>
        <v>-1.4752370916754478</v>
      </c>
    </row>
    <row r="75" spans="1:34" s="12" customFormat="1" ht="15" customHeight="1" x14ac:dyDescent="0.25">
      <c r="A75" s="9" t="s">
        <v>63</v>
      </c>
      <c r="B75" s="11">
        <f>B73/B74</f>
        <v>464.56086956521739</v>
      </c>
      <c r="C75" s="11">
        <f>C73/C74</f>
        <v>451.19782608695652</v>
      </c>
      <c r="D75" s="11">
        <f>B75-C75</f>
        <v>13.363043478260863</v>
      </c>
      <c r="E75" s="11">
        <f>D75/C75*100</f>
        <v>2.9616817071466754</v>
      </c>
      <c r="F75" s="11"/>
      <c r="G75" s="11">
        <f>G73/G74</f>
        <v>648.53979238754323</v>
      </c>
      <c r="H75" s="11">
        <f>H73/H74</f>
        <v>638.75510204081638</v>
      </c>
      <c r="I75" s="11">
        <f>G75-H75</f>
        <v>9.7846903467268476</v>
      </c>
      <c r="J75" s="11">
        <f>I75/H75*100</f>
        <v>1.5318375251273699</v>
      </c>
      <c r="K75" s="11"/>
      <c r="L75" s="11">
        <f>L73/L74</f>
        <v>530.80107526881716</v>
      </c>
      <c r="M75" s="11">
        <f>M73/M74</f>
        <v>499.38461538461536</v>
      </c>
      <c r="N75" s="11">
        <f>L75-M75</f>
        <v>31.416459884201799</v>
      </c>
      <c r="O75" s="11">
        <f>N75/M75*100</f>
        <v>6.2910347888882221</v>
      </c>
      <c r="P75" s="11"/>
      <c r="Q75" s="11">
        <f>Q73/Q74</f>
        <v>534.60427807486633</v>
      </c>
      <c r="R75" s="11">
        <f>R73/R74</f>
        <v>519.20442571127501</v>
      </c>
      <c r="S75" s="10">
        <f t="shared" si="15"/>
        <v>15.399852363591322</v>
      </c>
      <c r="T75" s="11">
        <f>S75/R75*100</f>
        <v>2.9660479766701839</v>
      </c>
    </row>
    <row r="76" spans="1:34" s="12" customFormat="1" ht="15" customHeight="1" x14ac:dyDescent="0.25">
      <c r="A76" s="9" t="s">
        <v>64</v>
      </c>
      <c r="B76" s="11">
        <f>(1000*B24)/B73</f>
        <v>1308.6032727493937</v>
      </c>
      <c r="C76" s="11">
        <f>(1000*C24)/C73</f>
        <v>1290.2291484984412</v>
      </c>
      <c r="D76" s="11">
        <f>B76-C76</f>
        <v>18.374124250952491</v>
      </c>
      <c r="E76" s="11">
        <f>D76/C76*100</f>
        <v>1.4240977482438804</v>
      </c>
      <c r="F76" s="11"/>
      <c r="G76" s="11">
        <f>(1000*G24)/G73</f>
        <v>1266.5352102674094</v>
      </c>
      <c r="H76" s="11">
        <f>(1000*H24)/H73</f>
        <v>1255.9758032738</v>
      </c>
      <c r="I76" s="11">
        <f>G76-H76</f>
        <v>10.5594069936094</v>
      </c>
      <c r="J76" s="11">
        <f>I76/H76*100</f>
        <v>0.84073331397670825</v>
      </c>
      <c r="K76" s="11"/>
      <c r="L76" s="11">
        <f>(1000*L24)/L73</f>
        <v>741.27204752403043</v>
      </c>
      <c r="M76" s="11">
        <f>(1000*M24)/M73</f>
        <v>803.99332511809405</v>
      </c>
      <c r="N76" s="11">
        <f>L76-M76</f>
        <v>-62.721277594063622</v>
      </c>
      <c r="O76" s="11">
        <f>N76/M76*100</f>
        <v>-7.8012186960446277</v>
      </c>
      <c r="P76" s="11"/>
      <c r="Q76" s="11">
        <f>(1000*Q24)/Q73</f>
        <v>1180.7726471676788</v>
      </c>
      <c r="R76" s="11">
        <f>(1000*R24)/R73</f>
        <v>1181.0765437109949</v>
      </c>
      <c r="S76" s="10">
        <f t="shared" si="15"/>
        <v>-0.30389654331611382</v>
      </c>
      <c r="T76" s="11">
        <f>S76/R76*100</f>
        <v>-2.5730469793368127E-2</v>
      </c>
    </row>
    <row r="77" spans="1:34" s="12" customFormat="1" x14ac:dyDescent="0.25">
      <c r="A77" s="12" t="s">
        <v>65</v>
      </c>
      <c r="B77" s="11">
        <f>VLOOKUP(A77,[6]REG11!$A$65:$O$77,2,FALSE)</f>
        <v>111136.92033333334</v>
      </c>
      <c r="C77" s="11">
        <v>104022.36466666668</v>
      </c>
      <c r="D77" s="11">
        <f>B77-C77</f>
        <v>7114.5556666666671</v>
      </c>
      <c r="E77" s="11">
        <f>D77/C77*100</f>
        <v>6.8394481220118637</v>
      </c>
      <c r="F77" s="11"/>
      <c r="G77" s="11">
        <f>VLOOKUP(A77,[6]REG11!$A$65:$O$77,7,FALSE)</f>
        <v>83130.3</v>
      </c>
      <c r="H77" s="11">
        <v>78143</v>
      </c>
      <c r="I77" s="11">
        <f>G77-H77</f>
        <v>4987.3000000000029</v>
      </c>
      <c r="J77" s="11">
        <f>I77/H77*100</f>
        <v>6.3822735241800324</v>
      </c>
      <c r="K77" s="11"/>
      <c r="L77" s="11">
        <f>VLOOKUP(A77,[6]REG11!$A$65:$O$77,12,FALSE)</f>
        <v>33484</v>
      </c>
      <c r="M77" s="11">
        <v>32600</v>
      </c>
      <c r="N77" s="11">
        <f>L77-M77</f>
        <v>884</v>
      </c>
      <c r="O77" s="11">
        <f>N77/M77*100</f>
        <v>2.7116564417177913</v>
      </c>
      <c r="P77" s="11"/>
      <c r="Q77" s="10">
        <f>B77+G77+L77</f>
        <v>227751.22033333336</v>
      </c>
      <c r="R77" s="10">
        <f>C77+H77+M77</f>
        <v>214765.36466666666</v>
      </c>
      <c r="S77" s="10">
        <f t="shared" si="15"/>
        <v>12985.855666666699</v>
      </c>
      <c r="T77" s="11">
        <f>S77/R77*100</f>
        <v>6.0465316122186668</v>
      </c>
    </row>
    <row r="78" spans="1:34" x14ac:dyDescent="0.25">
      <c r="A78" s="2" t="s">
        <v>66</v>
      </c>
      <c r="B78" s="29" t="s">
        <v>67</v>
      </c>
      <c r="C78" s="29"/>
      <c r="D78" s="29"/>
      <c r="E78" s="29"/>
      <c r="F78" s="17"/>
      <c r="G78" s="29" t="s">
        <v>67</v>
      </c>
      <c r="H78" s="29"/>
      <c r="I78" s="29"/>
      <c r="J78" s="29"/>
      <c r="K78" s="17"/>
      <c r="L78" s="29" t="s">
        <v>67</v>
      </c>
      <c r="M78" s="29"/>
      <c r="N78" s="29"/>
      <c r="O78" s="29"/>
      <c r="P78" s="17"/>
      <c r="Q78" s="17"/>
      <c r="R78" s="17"/>
      <c r="S78" s="17"/>
      <c r="T78" s="17"/>
    </row>
    <row r="79" spans="1:34" ht="15" customHeight="1" x14ac:dyDescent="0.25">
      <c r="E79" s="18"/>
      <c r="F79" s="18"/>
      <c r="J79" s="18"/>
      <c r="K79" s="18"/>
      <c r="O79" s="18"/>
      <c r="P79" s="18"/>
      <c r="T79" s="18"/>
    </row>
    <row r="80" spans="1:34" ht="15" customHeight="1" x14ac:dyDescent="0.25">
      <c r="E80" s="18"/>
      <c r="F80" s="18"/>
      <c r="J80" s="18"/>
      <c r="K80" s="18"/>
      <c r="O80" s="18"/>
      <c r="P80" s="18"/>
      <c r="T80" s="18"/>
    </row>
    <row r="81" spans="1:20" ht="15" customHeight="1" x14ac:dyDescent="0.25">
      <c r="A81" s="2" t="s">
        <v>69</v>
      </c>
      <c r="E81" s="18"/>
      <c r="F81" s="18"/>
      <c r="J81" s="18"/>
      <c r="K81" s="18"/>
      <c r="O81" s="18"/>
      <c r="P81" s="18"/>
      <c r="T81" s="18"/>
    </row>
    <row r="82" spans="1:20" ht="15" customHeight="1" x14ac:dyDescent="0.25">
      <c r="E82" s="18"/>
      <c r="F82" s="18"/>
      <c r="P82" s="18"/>
    </row>
    <row r="83" spans="1:20" ht="15" customHeight="1" x14ac:dyDescent="0.25"/>
    <row r="84" spans="1:20" ht="15" customHeight="1" x14ac:dyDescent="0.25"/>
    <row r="85" spans="1:20" ht="15" customHeight="1" x14ac:dyDescent="0.25"/>
    <row r="86" spans="1:20" ht="15" customHeight="1" x14ac:dyDescent="0.25"/>
    <row r="87" spans="1:20" ht="15" customHeight="1" x14ac:dyDescent="0.25"/>
    <row r="88" spans="1:20" ht="15" customHeight="1" x14ac:dyDescent="0.25"/>
    <row r="89" spans="1:20" ht="15" customHeight="1" x14ac:dyDescent="0.25"/>
    <row r="90" spans="1:20" ht="15" customHeight="1" x14ac:dyDescent="0.25"/>
    <row r="91" spans="1:20" ht="15" customHeight="1" x14ac:dyDescent="0.25"/>
    <row r="92" spans="1:20" ht="15" customHeight="1" x14ac:dyDescent="0.25"/>
    <row r="93" spans="1:20" ht="15" customHeight="1" x14ac:dyDescent="0.25"/>
    <row r="94" spans="1:20" ht="15" customHeight="1" x14ac:dyDescent="0.25"/>
    <row r="95" spans="1:20" ht="15" customHeight="1" x14ac:dyDescent="0.25"/>
    <row r="96" spans="1:20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</sheetData>
  <mergeCells count="14">
    <mergeCell ref="D8:E8"/>
    <mergeCell ref="I8:J8"/>
    <mergeCell ref="N8:O8"/>
    <mergeCell ref="S8:T8"/>
    <mergeCell ref="B78:E78"/>
    <mergeCell ref="G78:J78"/>
    <mergeCell ref="L78:O78"/>
    <mergeCell ref="B5:E5"/>
    <mergeCell ref="G5:J5"/>
    <mergeCell ref="L5:O5"/>
    <mergeCell ref="Q5:T5"/>
    <mergeCell ref="B6:E6"/>
    <mergeCell ref="G6:J6"/>
    <mergeCell ref="L6:O6"/>
  </mergeCells>
  <pageMargins left="0.82" right="0.14000000000000001" top="0.5" bottom="0" header="0.33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REG11</vt:lpstr>
      <vt:lpstr>'REG11'!Print_Area</vt:lpstr>
      <vt:lpstr>'REG11'!Print_Titles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2024-03-01T08:09:22Z</dcterms:created>
  <dcterms:modified xsi:type="dcterms:W3CDTF">2024-03-08T07:11:50Z</dcterms:modified>
</cp:coreProperties>
</file>